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90" windowHeight="9735"/>
  </bookViews>
  <sheets>
    <sheet name="2018-2020 " sheetId="45" r:id="rId1"/>
  </sheets>
  <definedNames>
    <definedName name="_xlnm._FilterDatabase" localSheetId="0" hidden="1">'2018-2020 '!$A$232:$CX$235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5" i="45"/>
  <c r="C231"/>
  <c r="M230"/>
  <c r="E230"/>
  <c r="D230" s="1"/>
  <c r="W229"/>
  <c r="V229"/>
  <c r="U229"/>
  <c r="T229"/>
  <c r="S229"/>
  <c r="R229"/>
  <c r="Q229"/>
  <c r="P229"/>
  <c r="O229"/>
  <c r="N229"/>
  <c r="M229"/>
  <c r="L229"/>
  <c r="K229"/>
  <c r="J229"/>
  <c r="I229"/>
  <c r="H229"/>
  <c r="G229"/>
  <c r="F229"/>
  <c r="V228"/>
  <c r="V227" s="1"/>
  <c r="T228"/>
  <c r="T227" s="1"/>
  <c r="S228"/>
  <c r="S227" s="1"/>
  <c r="O228"/>
  <c r="O227" s="1"/>
  <c r="M228"/>
  <c r="I228"/>
  <c r="I227" s="1"/>
  <c r="H228"/>
  <c r="H227" s="1"/>
  <c r="E228"/>
  <c r="W227"/>
  <c r="U227"/>
  <c r="R227"/>
  <c r="Q227"/>
  <c r="P227"/>
  <c r="N227"/>
  <c r="M227"/>
  <c r="L227"/>
  <c r="K227"/>
  <c r="J227"/>
  <c r="G227"/>
  <c r="F227"/>
  <c r="C226"/>
  <c r="C225"/>
  <c r="C224"/>
  <c r="C223"/>
  <c r="C222"/>
  <c r="V221"/>
  <c r="O221"/>
  <c r="I221"/>
  <c r="H221"/>
  <c r="F221"/>
  <c r="E221"/>
  <c r="C220"/>
  <c r="C219"/>
  <c r="C218"/>
  <c r="V217"/>
  <c r="I217"/>
  <c r="H217"/>
  <c r="F217"/>
  <c r="E217"/>
  <c r="C216"/>
  <c r="V215"/>
  <c r="M215"/>
  <c r="I215"/>
  <c r="H215"/>
  <c r="F215"/>
  <c r="E215"/>
  <c r="V214"/>
  <c r="O214"/>
  <c r="M214"/>
  <c r="H214"/>
  <c r="F214"/>
  <c r="E214"/>
  <c r="V213"/>
  <c r="H213"/>
  <c r="E213"/>
  <c r="V212"/>
  <c r="H212"/>
  <c r="F212"/>
  <c r="E212"/>
  <c r="C211"/>
  <c r="V210"/>
  <c r="I210"/>
  <c r="H210"/>
  <c r="F210"/>
  <c r="E210"/>
  <c r="C209"/>
  <c r="W208"/>
  <c r="U208"/>
  <c r="T208"/>
  <c r="S208"/>
  <c r="R208"/>
  <c r="Q208"/>
  <c r="P208"/>
  <c r="N208"/>
  <c r="L208"/>
  <c r="K208"/>
  <c r="J208"/>
  <c r="G208"/>
  <c r="C207"/>
  <c r="C206"/>
  <c r="C205"/>
  <c r="C204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E203"/>
  <c r="D203"/>
  <c r="C202"/>
  <c r="C201" s="1"/>
  <c r="W201"/>
  <c r="V201"/>
  <c r="U201"/>
  <c r="T201"/>
  <c r="S201"/>
  <c r="R201"/>
  <c r="Q201"/>
  <c r="P201"/>
  <c r="O201"/>
  <c r="N201"/>
  <c r="M201"/>
  <c r="L201"/>
  <c r="K201"/>
  <c r="J201"/>
  <c r="I201"/>
  <c r="H201"/>
  <c r="G201"/>
  <c r="F201"/>
  <c r="E201"/>
  <c r="D201"/>
  <c r="V200"/>
  <c r="O200"/>
  <c r="I200"/>
  <c r="H200"/>
  <c r="F200"/>
  <c r="E200"/>
  <c r="V199"/>
  <c r="I199"/>
  <c r="H199"/>
  <c r="F199"/>
  <c r="E199"/>
  <c r="C198"/>
  <c r="C197"/>
  <c r="W196"/>
  <c r="V196"/>
  <c r="U196"/>
  <c r="T196"/>
  <c r="S196"/>
  <c r="R196"/>
  <c r="Q196"/>
  <c r="P196"/>
  <c r="O196"/>
  <c r="N196"/>
  <c r="M196"/>
  <c r="L196"/>
  <c r="K196"/>
  <c r="J196"/>
  <c r="G196"/>
  <c r="L195"/>
  <c r="L186" s="1"/>
  <c r="C195"/>
  <c r="V194"/>
  <c r="I194"/>
  <c r="H194"/>
  <c r="F194"/>
  <c r="E194"/>
  <c r="V193"/>
  <c r="I193"/>
  <c r="H193"/>
  <c r="E193"/>
  <c r="H192"/>
  <c r="F192"/>
  <c r="E192"/>
  <c r="H191"/>
  <c r="E191"/>
  <c r="C190"/>
  <c r="C189"/>
  <c r="C188"/>
  <c r="D187"/>
  <c r="C187" s="1"/>
  <c r="W186"/>
  <c r="U186"/>
  <c r="T186"/>
  <c r="S186"/>
  <c r="R186"/>
  <c r="Q186"/>
  <c r="P186"/>
  <c r="O186"/>
  <c r="N186"/>
  <c r="M186"/>
  <c r="K186"/>
  <c r="J186"/>
  <c r="G186"/>
  <c r="T185"/>
  <c r="T184" s="1"/>
  <c r="M185"/>
  <c r="W184"/>
  <c r="V184"/>
  <c r="U184"/>
  <c r="S184"/>
  <c r="R184"/>
  <c r="Q184"/>
  <c r="P184"/>
  <c r="O184"/>
  <c r="N184"/>
  <c r="L184"/>
  <c r="K184"/>
  <c r="J184"/>
  <c r="I184"/>
  <c r="H184"/>
  <c r="G184"/>
  <c r="F184"/>
  <c r="E184"/>
  <c r="D184"/>
  <c r="C183"/>
  <c r="C182" s="1"/>
  <c r="W182"/>
  <c r="V182"/>
  <c r="U182"/>
  <c r="T182"/>
  <c r="S182"/>
  <c r="R182"/>
  <c r="Q182"/>
  <c r="P182"/>
  <c r="O182"/>
  <c r="N182"/>
  <c r="M182"/>
  <c r="L182"/>
  <c r="K182"/>
  <c r="J182"/>
  <c r="I182"/>
  <c r="H182"/>
  <c r="G182"/>
  <c r="F182"/>
  <c r="E182"/>
  <c r="D182"/>
  <c r="T181"/>
  <c r="M181"/>
  <c r="T180"/>
  <c r="M180"/>
  <c r="V179"/>
  <c r="T179"/>
  <c r="O179"/>
  <c r="M179"/>
  <c r="I179"/>
  <c r="F179"/>
  <c r="E179"/>
  <c r="C178"/>
  <c r="V177"/>
  <c r="O177"/>
  <c r="I177"/>
  <c r="H177"/>
  <c r="F177"/>
  <c r="E177"/>
  <c r="C176"/>
  <c r="T175"/>
  <c r="M175"/>
  <c r="V174"/>
  <c r="T174"/>
  <c r="O174"/>
  <c r="M174"/>
  <c r="I174"/>
  <c r="H174"/>
  <c r="F174"/>
  <c r="E174"/>
  <c r="T173"/>
  <c r="M173"/>
  <c r="W172"/>
  <c r="U172"/>
  <c r="S172"/>
  <c r="R172"/>
  <c r="Q172"/>
  <c r="P172"/>
  <c r="N172"/>
  <c r="L172"/>
  <c r="K172"/>
  <c r="J172"/>
  <c r="G172"/>
  <c r="C171"/>
  <c r="C170"/>
  <c r="V169"/>
  <c r="M169"/>
  <c r="M163" s="1"/>
  <c r="I169"/>
  <c r="H169"/>
  <c r="E169"/>
  <c r="C168"/>
  <c r="C167"/>
  <c r="C166"/>
  <c r="C165"/>
  <c r="V164"/>
  <c r="O164"/>
  <c r="O163" s="1"/>
  <c r="I164"/>
  <c r="H164"/>
  <c r="F164"/>
  <c r="F163" s="1"/>
  <c r="E164"/>
  <c r="E163" s="1"/>
  <c r="W163"/>
  <c r="U163"/>
  <c r="T163"/>
  <c r="S163"/>
  <c r="R163"/>
  <c r="Q163"/>
  <c r="P163"/>
  <c r="N163"/>
  <c r="L163"/>
  <c r="K163"/>
  <c r="J163"/>
  <c r="G163"/>
  <c r="C162"/>
  <c r="C161"/>
  <c r="C160"/>
  <c r="C159"/>
  <c r="C158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D156"/>
  <c r="D154" s="1"/>
  <c r="C155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C153"/>
  <c r="C152" s="1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T151"/>
  <c r="S151"/>
  <c r="V150"/>
  <c r="T150"/>
  <c r="S150"/>
  <c r="I150"/>
  <c r="H150"/>
  <c r="F150"/>
  <c r="E150"/>
  <c r="C149"/>
  <c r="C148"/>
  <c r="C147"/>
  <c r="C146"/>
  <c r="C145"/>
  <c r="M144"/>
  <c r="E144"/>
  <c r="D144" s="1"/>
  <c r="C143"/>
  <c r="C142"/>
  <c r="C141"/>
  <c r="C140"/>
  <c r="V139"/>
  <c r="O139"/>
  <c r="M139"/>
  <c r="I139"/>
  <c r="H139"/>
  <c r="F139"/>
  <c r="E139"/>
  <c r="C138"/>
  <c r="C137"/>
  <c r="V136"/>
  <c r="M136"/>
  <c r="I136"/>
  <c r="H136"/>
  <c r="F136"/>
  <c r="E136"/>
  <c r="C135"/>
  <c r="M134"/>
  <c r="I134"/>
  <c r="H134"/>
  <c r="F134"/>
  <c r="E134"/>
  <c r="C133"/>
  <c r="C132"/>
  <c r="M131"/>
  <c r="I131"/>
  <c r="H131"/>
  <c r="F131"/>
  <c r="E131"/>
  <c r="C130"/>
  <c r="C129"/>
  <c r="C128"/>
  <c r="C127"/>
  <c r="T126"/>
  <c r="S126"/>
  <c r="V125"/>
  <c r="M125"/>
  <c r="I125"/>
  <c r="H125"/>
  <c r="F125"/>
  <c r="E125"/>
  <c r="C124"/>
  <c r="C123"/>
  <c r="C122"/>
  <c r="C121"/>
  <c r="C120"/>
  <c r="C119"/>
  <c r="C118"/>
  <c r="C117"/>
  <c r="C116"/>
  <c r="C115"/>
  <c r="C114"/>
  <c r="V113"/>
  <c r="O113"/>
  <c r="M113"/>
  <c r="I113"/>
  <c r="H113"/>
  <c r="F113"/>
  <c r="E113"/>
  <c r="C112"/>
  <c r="C111"/>
  <c r="C110"/>
  <c r="T109"/>
  <c r="S109"/>
  <c r="T108"/>
  <c r="S108"/>
  <c r="C107"/>
  <c r="C106"/>
  <c r="C105"/>
  <c r="C104"/>
  <c r="C103"/>
  <c r="C102"/>
  <c r="O101"/>
  <c r="I101"/>
  <c r="H101"/>
  <c r="F101"/>
  <c r="E101"/>
  <c r="C100"/>
  <c r="C99"/>
  <c r="C98"/>
  <c r="C97"/>
  <c r="V96"/>
  <c r="T96"/>
  <c r="S96"/>
  <c r="O96"/>
  <c r="M96"/>
  <c r="I96"/>
  <c r="H96"/>
  <c r="F96"/>
  <c r="E96"/>
  <c r="C95"/>
  <c r="C94"/>
  <c r="C93"/>
  <c r="C92"/>
  <c r="C91"/>
  <c r="M90"/>
  <c r="F90"/>
  <c r="E90"/>
  <c r="V89"/>
  <c r="I89"/>
  <c r="H89"/>
  <c r="F89"/>
  <c r="E89"/>
  <c r="T88"/>
  <c r="S88"/>
  <c r="M88"/>
  <c r="I88"/>
  <c r="H88"/>
  <c r="E88"/>
  <c r="C87"/>
  <c r="C86"/>
  <c r="K85"/>
  <c r="C85" s="1"/>
  <c r="C84"/>
  <c r="K83"/>
  <c r="C82"/>
  <c r="C81"/>
  <c r="C80"/>
  <c r="C79"/>
  <c r="C78"/>
  <c r="C77"/>
  <c r="C76"/>
  <c r="C75"/>
  <c r="C74"/>
  <c r="C73"/>
  <c r="C72"/>
  <c r="C71"/>
  <c r="C70"/>
  <c r="C69"/>
  <c r="C68"/>
  <c r="V67"/>
  <c r="M67"/>
  <c r="I67"/>
  <c r="H67"/>
  <c r="F67"/>
  <c r="E67"/>
  <c r="C66"/>
  <c r="C65"/>
  <c r="C64"/>
  <c r="T63"/>
  <c r="M63"/>
  <c r="W62"/>
  <c r="U62"/>
  <c r="R62"/>
  <c r="Q62"/>
  <c r="P62"/>
  <c r="N62"/>
  <c r="L62"/>
  <c r="J62"/>
  <c r="G62"/>
  <c r="C61"/>
  <c r="C60"/>
  <c r="C59"/>
  <c r="C58"/>
  <c r="C57"/>
  <c r="C56"/>
  <c r="M55"/>
  <c r="I55"/>
  <c r="H55"/>
  <c r="F55"/>
  <c r="E55"/>
  <c r="M54"/>
  <c r="I54"/>
  <c r="F54"/>
  <c r="E54"/>
  <c r="V53"/>
  <c r="M53"/>
  <c r="I53"/>
  <c r="H53"/>
  <c r="F53"/>
  <c r="E53"/>
  <c r="M52"/>
  <c r="I52"/>
  <c r="H52"/>
  <c r="F52"/>
  <c r="E52"/>
  <c r="V51"/>
  <c r="O51"/>
  <c r="M51"/>
  <c r="I51"/>
  <c r="H51"/>
  <c r="F51"/>
  <c r="E51"/>
  <c r="C50"/>
  <c r="C49"/>
  <c r="C48"/>
  <c r="C47"/>
  <c r="C46"/>
  <c r="M45"/>
  <c r="I45"/>
  <c r="F45"/>
  <c r="E45"/>
  <c r="V44"/>
  <c r="I44"/>
  <c r="H44"/>
  <c r="F44"/>
  <c r="E44"/>
  <c r="V43"/>
  <c r="I43"/>
  <c r="H43"/>
  <c r="F43"/>
  <c r="E43"/>
  <c r="V42"/>
  <c r="M42"/>
  <c r="I42"/>
  <c r="H42"/>
  <c r="F42"/>
  <c r="E42"/>
  <c r="M41"/>
  <c r="I41"/>
  <c r="H41"/>
  <c r="F41"/>
  <c r="E41"/>
  <c r="C40"/>
  <c r="M39"/>
  <c r="I39"/>
  <c r="H39"/>
  <c r="F39"/>
  <c r="E39"/>
  <c r="C38"/>
  <c r="C37"/>
  <c r="V36"/>
  <c r="O36"/>
  <c r="M36"/>
  <c r="I36"/>
  <c r="H36"/>
  <c r="F36"/>
  <c r="E36"/>
  <c r="V35"/>
  <c r="O35"/>
  <c r="M35"/>
  <c r="I35"/>
  <c r="H35"/>
  <c r="F35"/>
  <c r="E35"/>
  <c r="C34"/>
  <c r="C33"/>
  <c r="C32"/>
  <c r="C31"/>
  <c r="C30"/>
  <c r="C29"/>
  <c r="V28"/>
  <c r="I28"/>
  <c r="H28"/>
  <c r="F28"/>
  <c r="E28"/>
  <c r="W27"/>
  <c r="U27"/>
  <c r="T27"/>
  <c r="S27"/>
  <c r="R27"/>
  <c r="Q27"/>
  <c r="P27"/>
  <c r="N27"/>
  <c r="L27"/>
  <c r="K27"/>
  <c r="J27"/>
  <c r="G27"/>
  <c r="H26"/>
  <c r="F26"/>
  <c r="E26"/>
  <c r="C25"/>
  <c r="V24"/>
  <c r="H24"/>
  <c r="F24"/>
  <c r="E24"/>
  <c r="V23"/>
  <c r="H23"/>
  <c r="G23"/>
  <c r="G21" s="1"/>
  <c r="F23"/>
  <c r="E23"/>
  <c r="V22"/>
  <c r="H22"/>
  <c r="F22"/>
  <c r="E22"/>
  <c r="W21"/>
  <c r="U21"/>
  <c r="T21"/>
  <c r="S21"/>
  <c r="R21"/>
  <c r="Q21"/>
  <c r="P21"/>
  <c r="O21"/>
  <c r="N21"/>
  <c r="M21"/>
  <c r="L21"/>
  <c r="K21"/>
  <c r="J21"/>
  <c r="I21"/>
  <c r="C20"/>
  <c r="C19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7"/>
  <c r="C16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I14"/>
  <c r="E14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C12"/>
  <c r="C11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I62" l="1"/>
  <c r="C15"/>
  <c r="J9"/>
  <c r="I172"/>
  <c r="V172"/>
  <c r="D213"/>
  <c r="C213" s="1"/>
  <c r="D210"/>
  <c r="C210" s="1"/>
  <c r="D212"/>
  <c r="C212" s="1"/>
  <c r="D214"/>
  <c r="O208"/>
  <c r="M208"/>
  <c r="H172"/>
  <c r="C175"/>
  <c r="D26"/>
  <c r="C26" s="1"/>
  <c r="D45"/>
  <c r="C45" s="1"/>
  <c r="C126"/>
  <c r="C151"/>
  <c r="I163"/>
  <c r="C173"/>
  <c r="D177"/>
  <c r="C177" s="1"/>
  <c r="C181"/>
  <c r="C185"/>
  <c r="C184" s="1"/>
  <c r="I186"/>
  <c r="F172"/>
  <c r="O27"/>
  <c r="S62"/>
  <c r="O62"/>
  <c r="D36"/>
  <c r="C36" s="1"/>
  <c r="D54"/>
  <c r="D67"/>
  <c r="V62"/>
  <c r="D90"/>
  <c r="D101"/>
  <c r="C101" s="1"/>
  <c r="C109"/>
  <c r="D113"/>
  <c r="C113" s="1"/>
  <c r="I196"/>
  <c r="E196"/>
  <c r="H196"/>
  <c r="I208"/>
  <c r="U9"/>
  <c r="D42"/>
  <c r="C42" s="1"/>
  <c r="D52"/>
  <c r="C52" s="1"/>
  <c r="I27"/>
  <c r="D131"/>
  <c r="C131" s="1"/>
  <c r="V163"/>
  <c r="D191"/>
  <c r="C191" s="1"/>
  <c r="H186"/>
  <c r="V186"/>
  <c r="F208"/>
  <c r="V208"/>
  <c r="D217"/>
  <c r="C217" s="1"/>
  <c r="D43"/>
  <c r="C43" s="1"/>
  <c r="M27"/>
  <c r="M172"/>
  <c r="H208"/>
  <c r="L9"/>
  <c r="C10"/>
  <c r="R9"/>
  <c r="C18"/>
  <c r="D199"/>
  <c r="C199" s="1"/>
  <c r="Q9"/>
  <c r="D23"/>
  <c r="C23" s="1"/>
  <c r="E21"/>
  <c r="C63"/>
  <c r="T62"/>
  <c r="M62"/>
  <c r="D89"/>
  <c r="C89" s="1"/>
  <c r="E186"/>
  <c r="N9"/>
  <c r="F21"/>
  <c r="D22"/>
  <c r="C22" s="1"/>
  <c r="D24"/>
  <c r="C24" s="1"/>
  <c r="F27"/>
  <c r="D28"/>
  <c r="C28" s="1"/>
  <c r="H27"/>
  <c r="V27"/>
  <c r="C54"/>
  <c r="D55"/>
  <c r="C55" s="1"/>
  <c r="F62"/>
  <c r="C83"/>
  <c r="K62"/>
  <c r="K9" s="1"/>
  <c r="D96"/>
  <c r="C96" s="1"/>
  <c r="C108"/>
  <c r="C157"/>
  <c r="H163"/>
  <c r="D169"/>
  <c r="C169" s="1"/>
  <c r="C180"/>
  <c r="C203"/>
  <c r="D174"/>
  <c r="E172"/>
  <c r="E62"/>
  <c r="O172"/>
  <c r="O9" s="1"/>
  <c r="D193"/>
  <c r="C193" s="1"/>
  <c r="P9"/>
  <c r="D41"/>
  <c r="C41" s="1"/>
  <c r="E27"/>
  <c r="H62"/>
  <c r="C90"/>
  <c r="D134"/>
  <c r="C134" s="1"/>
  <c r="C156"/>
  <c r="C154" s="1"/>
  <c r="D164"/>
  <c r="C164" s="1"/>
  <c r="D179"/>
  <c r="C179" s="1"/>
  <c r="F186"/>
  <c r="D194"/>
  <c r="C194" s="1"/>
  <c r="D221"/>
  <c r="C221" s="1"/>
  <c r="D228"/>
  <c r="C228" s="1"/>
  <c r="C227" s="1"/>
  <c r="E227"/>
  <c r="W9"/>
  <c r="V21"/>
  <c r="D35"/>
  <c r="C35" s="1"/>
  <c r="D51"/>
  <c r="C51" s="1"/>
  <c r="D125"/>
  <c r="C125" s="1"/>
  <c r="D136"/>
  <c r="C136" s="1"/>
  <c r="T172"/>
  <c r="D192"/>
  <c r="C192" s="1"/>
  <c r="D215"/>
  <c r="C215" s="1"/>
  <c r="G9"/>
  <c r="S9"/>
  <c r="D14"/>
  <c r="C14" s="1"/>
  <c r="C13" s="1"/>
  <c r="H21"/>
  <c r="D39"/>
  <c r="C39" s="1"/>
  <c r="D44"/>
  <c r="C44" s="1"/>
  <c r="D53"/>
  <c r="C53" s="1"/>
  <c r="D88"/>
  <c r="C88" s="1"/>
  <c r="D139"/>
  <c r="C139" s="1"/>
  <c r="D150"/>
  <c r="C150" s="1"/>
  <c r="M184"/>
  <c r="F196"/>
  <c r="D200"/>
  <c r="C200" s="1"/>
  <c r="C67"/>
  <c r="C144"/>
  <c r="E13"/>
  <c r="D163"/>
  <c r="C174"/>
  <c r="C214"/>
  <c r="C208" s="1"/>
  <c r="C230"/>
  <c r="C229" s="1"/>
  <c r="D229"/>
  <c r="E208"/>
  <c r="E229"/>
  <c r="D21" l="1"/>
  <c r="C163"/>
  <c r="C186"/>
  <c r="D172"/>
  <c r="D227"/>
  <c r="D186"/>
  <c r="D13"/>
  <c r="I9"/>
  <c r="D196"/>
  <c r="D208"/>
  <c r="H9"/>
  <c r="V9"/>
  <c r="C172"/>
  <c r="D27"/>
  <c r="D62"/>
  <c r="E9"/>
  <c r="T9"/>
  <c r="M9"/>
  <c r="C21"/>
  <c r="C27"/>
  <c r="F9"/>
  <c r="C196"/>
  <c r="C62"/>
  <c r="C9" l="1"/>
  <c r="D9"/>
</calcChain>
</file>

<file path=xl/sharedStrings.xml><?xml version="1.0" encoding="utf-8"?>
<sst xmlns="http://schemas.openxmlformats.org/spreadsheetml/2006/main" count="314" uniqueCount="256">
  <si>
    <t>№ п/п</t>
  </si>
  <si>
    <t>Адрес МКД</t>
  </si>
  <si>
    <t>руб.</t>
  </si>
  <si>
    <t>Итого по городу Заречный (ЗАТО):</t>
  </si>
  <si>
    <t>Итого по городу Каменка:</t>
  </si>
  <si>
    <t>Итого по городу Кузнецк:</t>
  </si>
  <si>
    <t>Итого по городу Нижний Ломов:</t>
  </si>
  <si>
    <t>Итого по городу Пенза:</t>
  </si>
  <si>
    <t>виды, установленные ч.1 ст.166 Жилищного Кодекса РФ</t>
  </si>
  <si>
    <t>виды, установленные нормативным правовым актом субъекта РФ</t>
  </si>
  <si>
    <t>ремонт крыши</t>
  </si>
  <si>
    <t>ремонт фасада</t>
  </si>
  <si>
    <t>ремонт фундамента</t>
  </si>
  <si>
    <t>другие виды</t>
  </si>
  <si>
    <t>ед.</t>
  </si>
  <si>
    <t>кв.м.</t>
  </si>
  <si>
    <t>куб.м.</t>
  </si>
  <si>
    <t>ремонт внутридомовых инженерных систем</t>
  </si>
  <si>
    <t>утепление фасадов</t>
  </si>
  <si>
    <t>Итого по Колышлейскому району:</t>
  </si>
  <si>
    <t>Итого на 2018 год:</t>
  </si>
  <si>
    <t>Итого по городу Никольск:</t>
  </si>
  <si>
    <t>Итого по городу Спасск:</t>
  </si>
  <si>
    <t xml:space="preserve">   Таблица № 2</t>
  </si>
  <si>
    <t>Итого по Бессоновскому району:</t>
  </si>
  <si>
    <t>Итого по Башмаковскому району:</t>
  </si>
  <si>
    <t>Итого по Бековскому району:</t>
  </si>
  <si>
    <t>Итого по Белинскому району:</t>
  </si>
  <si>
    <t>Итого по Городищенскому району:</t>
  </si>
  <si>
    <t>Итого по Земетчинскому району:</t>
  </si>
  <si>
    <t>Итого по Иссинскому району:</t>
  </si>
  <si>
    <t>Итого по Кузнецкому району:</t>
  </si>
  <si>
    <t>Итого по Мокшанскому району:</t>
  </si>
  <si>
    <t>Итого по Пачелмскому району:</t>
  </si>
  <si>
    <t>Итого по Пензенскому району:</t>
  </si>
  <si>
    <t>Итого по Сосновоборскому району:</t>
  </si>
  <si>
    <t>электроснабжение</t>
  </si>
  <si>
    <t>теплоснабжение</t>
  </si>
  <si>
    <t>газоснабжение</t>
  </si>
  <si>
    <t>водоснабжение</t>
  </si>
  <si>
    <t>водоотведение</t>
  </si>
  <si>
    <t>ВСЕГО</t>
  </si>
  <si>
    <t>Итого по Сердобскому району:</t>
  </si>
  <si>
    <t>г. Пенза, ул. Комсомольская, д. 15А</t>
  </si>
  <si>
    <t>Объем финансирования услуг и (или) работ по капитальному ремонту многоквартирных домов</t>
  </si>
  <si>
    <t>установка автоматизированных информационно-измерительных систем учета потребления коммунальных ресурсов и коммунальных услуг, коллективных (общедомовых) ПУ и УУ</t>
  </si>
  <si>
    <t>переустройство невентилируемой крыши на вентилируемую крышу, устройство выходов на кровлю</t>
  </si>
  <si>
    <t xml:space="preserve">ремонт или замена лифтового оборудования, признанного непригодным для эксплуатации, ремонт лифтовых шахт
</t>
  </si>
  <si>
    <t xml:space="preserve">ремонт подвальных помещений, относящихся к общему имуществу в многоквартирном доме
</t>
  </si>
  <si>
    <t>р.п. Башмаково, ул. Губкина, д. 20</t>
  </si>
  <si>
    <t>п. Сахзавод, ул. Центральная, д. 11</t>
  </si>
  <si>
    <t>г. Белинский, ул. Колычевская, д. 131</t>
  </si>
  <si>
    <t>г. Белинский, ул. Туристическая, д. 10</t>
  </si>
  <si>
    <t>г. Заречный, ул. Братская, д. 3</t>
  </si>
  <si>
    <t>г. Заречный, ул. Братская, д. 27</t>
  </si>
  <si>
    <t>г. Заречный, ул. Спортивная, д. 11А</t>
  </si>
  <si>
    <t>г. Кузнецк, ул. Белинского, д. 58</t>
  </si>
  <si>
    <t>г. Кузнецк, ул. Белинского, д. 60</t>
  </si>
  <si>
    <t>г. Кузнецк, ул. Белинского, д. 109</t>
  </si>
  <si>
    <t>г. Кузнецк, ул. Белинского, д. 118</t>
  </si>
  <si>
    <t>г. Кузнецк, ул. Белинского, д. 144А</t>
  </si>
  <si>
    <t>г. Кузнецк, ул. Варшавская, д. 1б</t>
  </si>
  <si>
    <t>г. Кузнецк, ул. Железнодорожная, д. 23А</t>
  </si>
  <si>
    <t>г. Кузнецк, ул. Московская, д. 67а</t>
  </si>
  <si>
    <t>г. Кузнецк, ул. Октябрьская, д. 7Б</t>
  </si>
  <si>
    <t>г. Кузнецк, ул. Октябрьская, д. 11</t>
  </si>
  <si>
    <t>г. Кузнецк, ул. Октябрьская, д. 11А</t>
  </si>
  <si>
    <t>г. Кузнецк, ул. Откормсовхоз, д. 7</t>
  </si>
  <si>
    <t>г. Кузнецк, ул. Пензенская, д. 110</t>
  </si>
  <si>
    <t>г. Кузнецк, ул. Первомайская, д. 7</t>
  </si>
  <si>
    <t>г. Кузнецк, ул. Правды, д. 2</t>
  </si>
  <si>
    <t>г. Кузнецк, ул. Правды, д. 4</t>
  </si>
  <si>
    <t>г. Кузнецк, ул. Правды, д. 6</t>
  </si>
  <si>
    <t>г. Кузнецк, ул. Правды, д. 8</t>
  </si>
  <si>
    <t>г. Кузнецк, ул. Радищева, д. 30</t>
  </si>
  <si>
    <t>г. Кузнецк, ул. Республики, д. 2В</t>
  </si>
  <si>
    <t>г. Кузнецк, ул. Тухачевского, д. 8</t>
  </si>
  <si>
    <t>г. Кузнецк, ул. Чкалова, д. 145</t>
  </si>
  <si>
    <t>г. Кузнецк, ул. Чкалова, д. 149</t>
  </si>
  <si>
    <t>г. Пенза, ул. Антонова, д. 11</t>
  </si>
  <si>
    <t>г. Пенза, ул. Антонова, д. 12</t>
  </si>
  <si>
    <t>г. Пенза, ул. Ватутина, д. 112</t>
  </si>
  <si>
    <t>г. Пенза, ул. Володарского, д. 85</t>
  </si>
  <si>
    <t>г. Пенза, ул. Воровского, д. 21</t>
  </si>
  <si>
    <t>г. Пенза, ул. Злобина, д. 51Б</t>
  </si>
  <si>
    <t>г. Пенза, ул. Карпинского, д. 32А</t>
  </si>
  <si>
    <t>г. Пенза, ул. Кижеватова, д. 4</t>
  </si>
  <si>
    <t>г. Пенза, ул. Кижеватова, д. 6</t>
  </si>
  <si>
    <t>г. Пенза, ул. Кижеватова, д. 15</t>
  </si>
  <si>
    <t>г. Пенза, ул. Кижеватова, д. 29</t>
  </si>
  <si>
    <t>г. Пенза, ул. Кижеватова, д. 31</t>
  </si>
  <si>
    <t>г. Пенза, ул. Кижеватова, д. 33</t>
  </si>
  <si>
    <t>г. Пенза, ул. Кирова, д. 3/5</t>
  </si>
  <si>
    <t>г. Пенза, ул. Кирова, д. 5</t>
  </si>
  <si>
    <t>г. Пенза, ул. Конструкторская, д. 6</t>
  </si>
  <si>
    <t>г. Пенза, ул. Конструкторская, д. 10</t>
  </si>
  <si>
    <t>г. Пенза, ул. Кулибина, д. 15А</t>
  </si>
  <si>
    <t>г. Пенза, ул. Ладожская, д. 49</t>
  </si>
  <si>
    <t>г. Пенза, ул. Ладожская, д. 91</t>
  </si>
  <si>
    <t>г. Пенза, ул. Ладожская, д. 103</t>
  </si>
  <si>
    <t>г. Пенза, ул. Ладожская, д. 115</t>
  </si>
  <si>
    <t>г. Пенза, ул. Ладожская, д. 117</t>
  </si>
  <si>
    <t>г. Пенза, ул. Ленина, д. 18</t>
  </si>
  <si>
    <t>г. Пенза, ул. Литейная/Белява, д. 16/1</t>
  </si>
  <si>
    <t>г. Пенза, ул. Локомотивная, д. 27</t>
  </si>
  <si>
    <t>г. Пенза, ул. Луначарского, д. 8</t>
  </si>
  <si>
    <t>г. Пенза, ул. Медицинская, д. 7</t>
  </si>
  <si>
    <t>г. Пенза, ул. Мира, д. 10</t>
  </si>
  <si>
    <t>г. Пенза, ул. Ново-Черкасская, д. 5</t>
  </si>
  <si>
    <t>г. Пенза, ул. Пархоменко, д. 25</t>
  </si>
  <si>
    <t>г. Пенза, ул. Пархоменко, д. 29</t>
  </si>
  <si>
    <t>г. Пенза, ул. Попова, д. 16А</t>
  </si>
  <si>
    <t>г. Пенза, ул. Пушанина, д. 28</t>
  </si>
  <si>
    <t>г. Пенза, ул. Рахманинова, д. 7А</t>
  </si>
  <si>
    <t>г. Пенза, ул. Рахманинова, д. 20</t>
  </si>
  <si>
    <t>г. Пенза, ул. Рахманинова, д. 42</t>
  </si>
  <si>
    <t>г. Пенза, ул. Ставского, д. 23А</t>
  </si>
  <si>
    <t>г. Пенза, ул. Тепличная, д. 10</t>
  </si>
  <si>
    <t>г. Пенза, ул. Токарная, д. 16</t>
  </si>
  <si>
    <t>г. Пенза, ул. Токарная, д. 18</t>
  </si>
  <si>
    <t>г. Пенза, ул. Фурманова, д. 19</t>
  </si>
  <si>
    <t>г. Пенза, ул. Циолковского/Ударная, д. 17/36</t>
  </si>
  <si>
    <t>г. Пенза, ул. Чкалова, д. 55</t>
  </si>
  <si>
    <t>р.п. Чаадаевка, ул. Строителей, д. 12</t>
  </si>
  <si>
    <t>р.п. Земетчино, ул. Долгова, д. 20А</t>
  </si>
  <si>
    <t>р.п. Земетчино, ул. Серегина, д. 17</t>
  </si>
  <si>
    <t>р.п. Исса, ул. Ленинская, д. 47</t>
  </si>
  <si>
    <t>р.п. Исса, ул. Ленинская, д. 60</t>
  </si>
  <si>
    <t>р.п. Исса, ул. Ленинская, д. 66</t>
  </si>
  <si>
    <t>р.п. Исса, ул. Советская, д. 23</t>
  </si>
  <si>
    <t>р.п. Исса, ул. Советская, д. 25</t>
  </si>
  <si>
    <t>г. Каменка, ул. Дзержинского, д. 5</t>
  </si>
  <si>
    <t>г. Каменка, ул. Рокоссовского, д. 36</t>
  </si>
  <si>
    <t>г. Каменка, ул. Рокоссовского, д. 50</t>
  </si>
  <si>
    <t>р.п. Колышлей, ул. Белинского, д. 36А</t>
  </si>
  <si>
    <t>р.п. Колышлей, ул. Гагарина, д. 18</t>
  </si>
  <si>
    <t>р.п. Колышлей, ул. Гагарина, д. 19</t>
  </si>
  <si>
    <t>р.п. Колышлей, ул. Пензенская, д. 1</t>
  </si>
  <si>
    <t>р.п. Колышлей, ул. Пензенская, д. 3</t>
  </si>
  <si>
    <t>р.п. Колышлей, ул. Пензенская, д. 5</t>
  </si>
  <si>
    <t>р.п. Колышлей, ул. Первомайская, д. 6</t>
  </si>
  <si>
    <t>р.п. Колышлей, ул. Рабочая, д. 54</t>
  </si>
  <si>
    <t>р.п. Колышлей, ул. Сердобская, д. 3</t>
  </si>
  <si>
    <t>р.п. Мокшан, ул. Дружбы, д. 1</t>
  </si>
  <si>
    <t>г. Никольск, ул. Ленина, д. 76</t>
  </si>
  <si>
    <t>г. Никольск, ул. Ленина, д. 123</t>
  </si>
  <si>
    <t>г. Никольск, ул. Ленина, д. 131</t>
  </si>
  <si>
    <t>р.п. Пачелма, ул. Гагарина, д. 7</t>
  </si>
  <si>
    <t>г. Сердобск, ул. Ильинская, д. 16</t>
  </si>
  <si>
    <t>г. Сердобск, ул. Комсомольская, д. 98А</t>
  </si>
  <si>
    <t>г. Сердобск, ул. Комсомольская, д. 118</t>
  </si>
  <si>
    <t>г. Сердобск, ул. Костенко, д. 34</t>
  </si>
  <si>
    <t>г. Сердобск, ул. Ленина, д. 130</t>
  </si>
  <si>
    <t>г. Сердобск, ул. Ленина, д. 144</t>
  </si>
  <si>
    <t>г. Сердобск, ул. Лесная, д. 32а</t>
  </si>
  <si>
    <t>г. Сердобск, ул. М.Горького, д. 20</t>
  </si>
  <si>
    <t>г. Сердобск, ул. М.Горького, д. 160</t>
  </si>
  <si>
    <t>г. Сердобск, ул. Островского, д. 35</t>
  </si>
  <si>
    <t>г. Сердобск, ул. Сережникова, д. 2</t>
  </si>
  <si>
    <t>г. Сердобск, ул. Советская, д. 14</t>
  </si>
  <si>
    <t>г. Сердобск, ул. Сорокина, д. 3</t>
  </si>
  <si>
    <t>г. Сердобск, ул. Энергетиков, д. 3</t>
  </si>
  <si>
    <t>п. Сазанье, ул. Чаадаева, д. 18</t>
  </si>
  <si>
    <t>р.п. Сосновоборск, ул. Кададинская, д. 28</t>
  </si>
  <si>
    <t>г. Спасск, ул. Октября, д. 13</t>
  </si>
  <si>
    <t>г. Заречный, пр-кт Мира, д. 22</t>
  </si>
  <si>
    <t>г. Пенза, пр-кт Победы, д. 86А</t>
  </si>
  <si>
    <t>г. Пенза, пр-кт Победы, д. 130</t>
  </si>
  <si>
    <t>г. Пенза, пр-кт Строителей, д. 33</t>
  </si>
  <si>
    <t>г. Пенза, пр-кт Строителей, д. 50</t>
  </si>
  <si>
    <t>г. Пенза, пр-кт Строителей, д. 51</t>
  </si>
  <si>
    <t>г. Пенза, пр-кт Строителей, д. 80</t>
  </si>
  <si>
    <t>г. Пенза, пр-кт Строителей, д. 142</t>
  </si>
  <si>
    <t>г. Спасск, пр-кт Красный, д. 23</t>
  </si>
  <si>
    <t>с. Кижеватово, ул. Молодежная, д. 32</t>
  </si>
  <si>
    <t>с. Чемодановка, ул. Фабричная, д. 4</t>
  </si>
  <si>
    <t>с. Алферьевка, ул. Молодежная, д. 2</t>
  </si>
  <si>
    <t>с. Ленино, ул. Набережная, д. 23</t>
  </si>
  <si>
    <t>ст. Кривозеровка, ул. Главная, д. 19</t>
  </si>
  <si>
    <t>ст. Кривозеровка, ул. Железнодорожная, д. 1</t>
  </si>
  <si>
    <t>г. Нижний Ломов,пер.Валовый, д. 3</t>
  </si>
  <si>
    <t>г. Нижний Ломов, ул. Вокзальная, д. 17</t>
  </si>
  <si>
    <t>г. Нижний Ломов, ул. Маяковского, д. 9</t>
  </si>
  <si>
    <t>г. Нижний Ломов, ул. Маяковского, д. 12</t>
  </si>
  <si>
    <t>г. Нижний Ломов, ул. Октябрьская, д. 35</t>
  </si>
  <si>
    <t>г. Нижний Ломов, ул. Рабочая, д. 1</t>
  </si>
  <si>
    <t>г. Нижний Ломов, ул. Толстого, д. 3</t>
  </si>
  <si>
    <t>с. Махалино, ул. Рабочий городок совхоза, д. 7</t>
  </si>
  <si>
    <t>г. Пенза, ул. Максима Горького, д. 20</t>
  </si>
  <si>
    <t>г. Пенза, ул. Клары Цеткин, д. 25</t>
  </si>
  <si>
    <t>г. Пенза, ул. Клары Цеткин, д. 67</t>
  </si>
  <si>
    <t>г. Пенза, ул. Каракозова, д. 33А</t>
  </si>
  <si>
    <t>г. Пенза, ул. 8 Марта, д. 27</t>
  </si>
  <si>
    <t>г. Пенза, ул. 8 Марта, д. 27А</t>
  </si>
  <si>
    <t>г. Пенза, проезд Виноградный 5-й, д. 24</t>
  </si>
  <si>
    <t>г. Пенза, проезд Виноградный 5-й, д. 22</t>
  </si>
  <si>
    <t>г. Пенза, км. Блокпост 720, д. 17</t>
  </si>
  <si>
    <t>г. Пенза, км. Блокпост 720, д. 15</t>
  </si>
  <si>
    <t>г. Пенза, км. Блокпост 720, д. 7</t>
  </si>
  <si>
    <t>г. Пенза, городок Военный 2-й, д. 291</t>
  </si>
  <si>
    <t>г. Кузнецк, ул. Городок Дружба, д. 1</t>
  </si>
  <si>
    <t>г. Кузнецк, ул. Городок Дружба, д. 2</t>
  </si>
  <si>
    <t>г. Кузнецк, ул. 60-летия ВЛКСМ, д. 2</t>
  </si>
  <si>
    <t>г. Кузнецк, ул. 60-летия ВЛКСМ, д. 4</t>
  </si>
  <si>
    <t>г. Кузнецк, ул. 354 Стрелковой Дивизии, д. 13</t>
  </si>
  <si>
    <t>г. Кузнецк, пер. Кирпичный, д. 6</t>
  </si>
  <si>
    <t>г. Кузнецк, городок Рабочий, д. 1А</t>
  </si>
  <si>
    <t>г. Кузнецк, городок Рабочий, д. 2</t>
  </si>
  <si>
    <t>г. Кузнецк, городок Рабочий, д. 5</t>
  </si>
  <si>
    <t>г. Кузнецк, ул. Белинского, д. 105</t>
  </si>
  <si>
    <t>г. Кузнецк, ул. Стекловская, д. 100</t>
  </si>
  <si>
    <t>г. Пенза, пр-кт Строителей, д. 43</t>
  </si>
  <si>
    <t>г. Пенза, пр-кт Строителей, д. 45</t>
  </si>
  <si>
    <t>г. Пенза, пр-кт Строителей, д. 49</t>
  </si>
  <si>
    <t>г. Пенза, пр-кт Строителей, д. 57</t>
  </si>
  <si>
    <t>г. Пенза, пр-кт Строителей, д. 59</t>
  </si>
  <si>
    <t>г. Пенза, пр-кт Строителей, д. 134</t>
  </si>
  <si>
    <t>г. Пенза, пр-кт Строителей, д. 146</t>
  </si>
  <si>
    <t>г. Пенза, пр-кт Строителей, д. 148</t>
  </si>
  <si>
    <t>г. Пенза, ул. Воронова, д. 2</t>
  </si>
  <si>
    <t>г. Пенза, ул. Воронова, д. 24</t>
  </si>
  <si>
    <t>г. Пенза, ул. Герцена, д. 11</t>
  </si>
  <si>
    <t>г. Пенза, ул. Калинина, д. 152</t>
  </si>
  <si>
    <t>г. Пенза, ул. Кижеватова, д. 14</t>
  </si>
  <si>
    <t>г. Пенза, ул. Кижеватова, д. 20</t>
  </si>
  <si>
    <t>г. Пенза, ул. Кижеватова, д. 24</t>
  </si>
  <si>
    <t>г. Пенза, ул. Кижеватова, д. 27</t>
  </si>
  <si>
    <t>г. Пенза, ул. Краснова, д. 45</t>
  </si>
  <si>
    <t>г. Пенза, ул. Кулакова, д. 3</t>
  </si>
  <si>
    <t>г. Пенза, ул. Ладожская, д. 95</t>
  </si>
  <si>
    <t>г. Пенза, ул. Лядова, д. 26</t>
  </si>
  <si>
    <t>г. Пенза, ул. Лядова, д. 30</t>
  </si>
  <si>
    <t>г. Пенза, ул. Лядова, д. 32</t>
  </si>
  <si>
    <t>г. Пенза, ул. Сосновая, д. 14</t>
  </si>
  <si>
    <t>г. Пенза, ул. Ставского, д. 6</t>
  </si>
  <si>
    <t>г. Пенза, ул. Фабричная, д. 11</t>
  </si>
  <si>
    <t>г. Каменка, ул. Заводская, д. 6</t>
  </si>
  <si>
    <t>г. Каменка, ул. Рокоссовского, д. 40</t>
  </si>
  <si>
    <t>г. Каменка, ул. Рокоссовского, д. 42</t>
  </si>
  <si>
    <t>г. Каменка, ул. Строительная, д. 2</t>
  </si>
  <si>
    <t>г. Каменка, ул. Строительная, д. 7</t>
  </si>
  <si>
    <t>г. Нижний Ломов, ул. Володарского, д. 55</t>
  </si>
  <si>
    <t>г. Нижний Ломов, ул. Московская, д. 9</t>
  </si>
  <si>
    <t>г. Никольск, ул. Ленина, д. 74</t>
  </si>
  <si>
    <t>г. Сердобск, ул. Вокзальная, д. 17</t>
  </si>
  <si>
    <t>г. Сердобск, ул. Пензенская, д. 98</t>
  </si>
  <si>
    <t>г. Сердобск, ул. Чайковского, д. 127</t>
  </si>
  <si>
    <t>г. Заречный, ул. Светлая, д. 30</t>
  </si>
  <si>
    <t>р.п.Башмаково ул.Губкина, д.10</t>
  </si>
  <si>
    <t>с.Симбухово ул.Заречная,д.43</t>
  </si>
  <si>
    <t>X</t>
  </si>
  <si>
    <t xml:space="preserve">Реестр многоквартирных домов в рамках Краткосрочного плана реализации региональной программы капитального ремонта общего имущества в многоквартирных домах, расположенных на территории Богородского сельсовета Мокшанского района Пензенской области, в 2024-2026 годах, по видам ремонта                                                        </t>
  </si>
  <si>
    <t>Итого на 2024 год:</t>
  </si>
  <si>
    <t>Итого на 2025 год:</t>
  </si>
  <si>
    <t>Итого на 2026 год</t>
  </si>
  <si>
    <t>Приложение №2 к Постановлению администрации Богородского сельсовета Мокшанского района Пензенской области от 09.01.2025 №3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</si>
</sst>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164" fontId="7" fillId="0" borderId="0" applyFill="0" applyBorder="0" applyAlignment="0" applyProtection="0"/>
    <xf numFmtId="164" fontId="7" fillId="0" borderId="0" applyFill="0" applyBorder="0" applyAlignment="0" applyProtection="0"/>
    <xf numFmtId="164" fontId="7" fillId="0" borderId="0" applyFill="0" applyBorder="0" applyAlignment="0" applyProtection="0"/>
    <xf numFmtId="164" fontId="7" fillId="0" borderId="0" applyFill="0" applyBorder="0" applyAlignment="0" applyProtection="0"/>
  </cellStyleXfs>
  <cellXfs count="92">
    <xf numFmtId="0" fontId="0" fillId="0" borderId="0" xfId="0"/>
    <xf numFmtId="0" fontId="3" fillId="0" borderId="1" xfId="0" applyFont="1" applyFill="1" applyBorder="1"/>
    <xf numFmtId="4" fontId="3" fillId="0" borderId="1" xfId="0" applyNumberFormat="1" applyFont="1" applyFill="1" applyBorder="1"/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/>
    <xf numFmtId="4" fontId="2" fillId="0" borderId="1" xfId="0" applyNumberFormat="1" applyFont="1" applyFill="1" applyBorder="1" applyAlignment="1"/>
    <xf numFmtId="1" fontId="2" fillId="0" borderId="1" xfId="0" applyNumberFormat="1" applyFont="1" applyFill="1" applyBorder="1" applyAlignment="1"/>
    <xf numFmtId="2" fontId="2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2" fillId="0" borderId="4" xfId="0" applyFont="1" applyFill="1" applyBorder="1" applyAlignment="1">
      <alignment horizontal="left" wrapText="1"/>
    </xf>
    <xf numFmtId="4" fontId="2" fillId="0" borderId="4" xfId="0" applyNumberFormat="1" applyFont="1" applyFill="1" applyBorder="1" applyAlignment="1">
      <alignment horizontal="right" vertical="center" wrapText="1"/>
    </xf>
    <xf numFmtId="1" fontId="2" fillId="0" borderId="4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 wrapText="1"/>
    </xf>
    <xf numFmtId="4" fontId="2" fillId="0" borderId="8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wrapText="1"/>
    </xf>
    <xf numFmtId="4" fontId="2" fillId="0" borderId="4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4" fontId="2" fillId="0" borderId="8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horizontal="right"/>
    </xf>
    <xf numFmtId="4" fontId="2" fillId="0" borderId="4" xfId="0" applyNumberFormat="1" applyFont="1" applyFill="1" applyBorder="1" applyAlignment="1"/>
    <xf numFmtId="1" fontId="2" fillId="0" borderId="4" xfId="0" applyNumberFormat="1" applyFont="1" applyFill="1" applyBorder="1" applyAlignment="1"/>
    <xf numFmtId="0" fontId="2" fillId="0" borderId="9" xfId="0" applyFont="1" applyFill="1" applyBorder="1" applyAlignment="1">
      <alignment wrapText="1"/>
    </xf>
    <xf numFmtId="4" fontId="2" fillId="0" borderId="10" xfId="0" applyNumberFormat="1" applyFont="1" applyFill="1" applyBorder="1" applyAlignment="1"/>
    <xf numFmtId="0" fontId="2" fillId="0" borderId="11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2" fillId="0" borderId="15" xfId="0" applyFont="1" applyFill="1" applyBorder="1" applyAlignment="1">
      <alignment wrapText="1"/>
    </xf>
    <xf numFmtId="4" fontId="2" fillId="0" borderId="16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wrapText="1"/>
    </xf>
    <xf numFmtId="0" fontId="2" fillId="0" borderId="9" xfId="0" applyFont="1" applyFill="1" applyBorder="1" applyAlignment="1">
      <alignment horizontal="right" wrapText="1"/>
    </xf>
    <xf numFmtId="0" fontId="2" fillId="0" borderId="11" xfId="0" applyFont="1" applyFill="1" applyBorder="1" applyAlignment="1">
      <alignment horizontal="right" wrapText="1"/>
    </xf>
    <xf numFmtId="0" fontId="2" fillId="0" borderId="13" xfId="0" applyFont="1" applyFill="1" applyBorder="1" applyAlignment="1">
      <alignment horizontal="right" wrapText="1"/>
    </xf>
    <xf numFmtId="0" fontId="0" fillId="0" borderId="2" xfId="0" applyFill="1" applyBorder="1"/>
    <xf numFmtId="4" fontId="2" fillId="0" borderId="10" xfId="0" applyNumberFormat="1" applyFont="1" applyFill="1" applyBorder="1" applyAlignment="1">
      <alignment horizontal="right" vertical="center" wrapText="1"/>
    </xf>
    <xf numFmtId="4" fontId="2" fillId="0" borderId="12" xfId="0" applyNumberFormat="1" applyFont="1" applyFill="1" applyBorder="1" applyAlignment="1">
      <alignment horizontal="right" vertical="center" wrapText="1"/>
    </xf>
    <xf numFmtId="4" fontId="2" fillId="0" borderId="14" xfId="0" applyNumberFormat="1" applyFont="1" applyFill="1" applyBorder="1" applyAlignment="1">
      <alignment horizontal="right" vertical="center" wrapText="1"/>
    </xf>
    <xf numFmtId="4" fontId="2" fillId="0" borderId="10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 wrapText="1"/>
    </xf>
    <xf numFmtId="0" fontId="2" fillId="0" borderId="11" xfId="0" applyFont="1" applyFill="1" applyBorder="1" applyAlignment="1"/>
    <xf numFmtId="4" fontId="2" fillId="0" borderId="17" xfId="0" applyNumberFormat="1" applyFont="1" applyFill="1" applyBorder="1" applyAlignment="1">
      <alignment horizontal="right" vertical="center"/>
    </xf>
    <xf numFmtId="4" fontId="2" fillId="0" borderId="17" xfId="0" applyNumberFormat="1" applyFont="1" applyFill="1" applyBorder="1" applyAlignment="1">
      <alignment horizontal="right" vertical="center" wrapText="1"/>
    </xf>
    <xf numFmtId="1" fontId="2" fillId="0" borderId="17" xfId="0" applyNumberFormat="1" applyFont="1" applyFill="1" applyBorder="1" applyAlignment="1">
      <alignment horizontal="right" vertical="center" wrapText="1"/>
    </xf>
    <xf numFmtId="4" fontId="2" fillId="0" borderId="18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/>
    <xf numFmtId="4" fontId="5" fillId="0" borderId="7" xfId="0" applyNumberFormat="1" applyFont="1" applyFill="1" applyBorder="1" applyAlignment="1"/>
    <xf numFmtId="1" fontId="5" fillId="0" borderId="6" xfId="0" applyNumberFormat="1" applyFont="1" applyFill="1" applyBorder="1" applyAlignment="1"/>
    <xf numFmtId="4" fontId="1" fillId="0" borderId="6" xfId="0" applyNumberFormat="1" applyFont="1" applyFill="1" applyBorder="1" applyAlignment="1">
      <alignment horizontal="right" vertical="center" wrapText="1"/>
    </xf>
    <xf numFmtId="1" fontId="1" fillId="0" borderId="6" xfId="0" applyNumberFormat="1" applyFont="1" applyFill="1" applyBorder="1" applyAlignment="1">
      <alignment horizontal="right" vertical="center" wrapText="1"/>
    </xf>
    <xf numFmtId="4" fontId="1" fillId="0" borderId="7" xfId="0" applyNumberFormat="1" applyFont="1" applyFill="1" applyBorder="1" applyAlignment="1">
      <alignment horizontal="right" vertical="center" wrapText="1"/>
    </xf>
    <xf numFmtId="4" fontId="1" fillId="0" borderId="6" xfId="0" applyNumberFormat="1" applyFont="1" applyFill="1" applyBorder="1" applyAlignment="1">
      <alignment horizontal="right" vertical="center"/>
    </xf>
    <xf numFmtId="1" fontId="1" fillId="0" borderId="6" xfId="0" applyNumberFormat="1" applyFont="1" applyFill="1" applyBorder="1" applyAlignment="1">
      <alignment horizontal="right" vertical="center"/>
    </xf>
    <xf numFmtId="4" fontId="1" fillId="0" borderId="7" xfId="0" applyNumberFormat="1" applyFont="1" applyFill="1" applyBorder="1" applyAlignment="1">
      <alignment horizontal="right" vertical="center"/>
    </xf>
    <xf numFmtId="0" fontId="2" fillId="0" borderId="1" xfId="0" applyFont="1" applyFill="1" applyBorder="1"/>
    <xf numFmtId="4" fontId="5" fillId="2" borderId="6" xfId="0" applyNumberFormat="1" applyFont="1" applyFill="1" applyBorder="1" applyAlignment="1">
      <alignment horizontal="center"/>
    </xf>
    <xf numFmtId="4" fontId="5" fillId="0" borderId="6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wrapText="1"/>
    </xf>
    <xf numFmtId="0" fontId="1" fillId="0" borderId="20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5" xfId="1"/>
    <cellStyle name="Финансовый 2" xfId="3"/>
    <cellStyle name="Финансовый 2 2" xfId="5"/>
    <cellStyle name="Финансовый 4" xfId="2"/>
    <cellStyle name="Финансовый 4 2" xfId="4"/>
  </cellStyles>
  <dxfs count="0"/>
  <tableStyles count="0" defaultTableStyle="TableStyleMedium2" defaultPivotStyle="PivotStyleLight16"/>
  <colors>
    <mruColors>
      <color rgb="FF00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121"/>
  <sheetViews>
    <sheetView tabSelected="1" zoomScale="80" zoomScaleNormal="80" workbookViewId="0">
      <selection activeCell="A2" sqref="A2:W2"/>
    </sheetView>
  </sheetViews>
  <sheetFormatPr defaultColWidth="9.140625" defaultRowHeight="18.75"/>
  <cols>
    <col min="1" max="1" width="7.140625" style="9" customWidth="1"/>
    <col min="2" max="2" width="54" style="9" customWidth="1"/>
    <col min="3" max="4" width="26" style="74" customWidth="1"/>
    <col min="5" max="5" width="20.42578125" style="74" customWidth="1"/>
    <col min="6" max="6" width="25" style="74" customWidth="1"/>
    <col min="7" max="7" width="18.42578125" style="74" customWidth="1"/>
    <col min="8" max="8" width="25" style="74" customWidth="1"/>
    <col min="9" max="9" width="15" style="74" customWidth="1"/>
    <col min="10" max="10" width="13.85546875" style="15" customWidth="1"/>
    <col min="11" max="11" width="14" style="74" customWidth="1"/>
    <col min="12" max="12" width="15.85546875" style="74" customWidth="1"/>
    <col min="13" max="13" width="23" style="74" customWidth="1"/>
    <col min="14" max="14" width="12.7109375" style="74" customWidth="1"/>
    <col min="15" max="15" width="18.140625" style="74" customWidth="1"/>
    <col min="16" max="16" width="16.7109375" style="74" customWidth="1"/>
    <col min="17" max="17" width="21.42578125" style="74" customWidth="1"/>
    <col min="18" max="18" width="17.28515625" style="74" customWidth="1"/>
    <col min="19" max="19" width="22.42578125" style="74" customWidth="1"/>
    <col min="20" max="20" width="21.7109375" style="74" customWidth="1"/>
    <col min="21" max="21" width="23.140625" style="74" customWidth="1"/>
    <col min="22" max="22" width="28.42578125" style="74" customWidth="1"/>
    <col min="23" max="23" width="9.7109375" style="74" customWidth="1"/>
    <col min="24" max="24" width="23.42578125" style="1" customWidth="1"/>
    <col min="25" max="25" width="24" style="1" customWidth="1"/>
    <col min="26" max="26" width="22.28515625" style="1" customWidth="1"/>
    <col min="27" max="27" width="29.7109375" style="1" customWidth="1"/>
    <col min="28" max="28" width="25.42578125" style="1" customWidth="1"/>
    <col min="29" max="29" width="24.85546875" style="1" customWidth="1"/>
    <col min="30" max="30" width="23.140625" style="1" customWidth="1"/>
    <col min="31" max="31" width="23.42578125" style="1" customWidth="1"/>
    <col min="32" max="32" width="39.42578125" style="1" customWidth="1"/>
    <col min="33" max="16384" width="9.140625" style="1"/>
  </cols>
  <sheetData>
    <row r="1" spans="1:41">
      <c r="A1" s="82" t="s">
        <v>255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4"/>
    </row>
    <row r="2" spans="1:41" s="6" customFormat="1" ht="46.5" customHeight="1">
      <c r="A2" s="86" t="s">
        <v>251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8"/>
    </row>
    <row r="3" spans="1:41" s="6" customFormat="1">
      <c r="A3" s="85" t="s">
        <v>23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</row>
    <row r="4" spans="1:41">
      <c r="A4" s="81" t="s">
        <v>0</v>
      </c>
      <c r="B4" s="81" t="s">
        <v>1</v>
      </c>
      <c r="C4" s="81" t="s">
        <v>44</v>
      </c>
      <c r="D4" s="81" t="s">
        <v>8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 t="s">
        <v>9</v>
      </c>
      <c r="U4" s="81"/>
      <c r="V4" s="81"/>
      <c r="W4" s="81"/>
    </row>
    <row r="5" spans="1:41">
      <c r="A5" s="81"/>
      <c r="B5" s="81"/>
      <c r="C5" s="81"/>
      <c r="D5" s="81" t="s">
        <v>17</v>
      </c>
      <c r="E5" s="81"/>
      <c r="F5" s="81"/>
      <c r="G5" s="81"/>
      <c r="H5" s="81"/>
      <c r="I5" s="81"/>
      <c r="J5" s="81" t="s">
        <v>47</v>
      </c>
      <c r="K5" s="81"/>
      <c r="L5" s="81" t="s">
        <v>10</v>
      </c>
      <c r="M5" s="81"/>
      <c r="N5" s="81" t="s">
        <v>48</v>
      </c>
      <c r="O5" s="81"/>
      <c r="P5" s="81" t="s">
        <v>11</v>
      </c>
      <c r="Q5" s="81"/>
      <c r="R5" s="81" t="s">
        <v>12</v>
      </c>
      <c r="S5" s="81"/>
      <c r="T5" s="81" t="s">
        <v>18</v>
      </c>
      <c r="U5" s="81" t="s">
        <v>46</v>
      </c>
      <c r="V5" s="81" t="s">
        <v>45</v>
      </c>
      <c r="W5" s="81" t="s">
        <v>13</v>
      </c>
    </row>
    <row r="6" spans="1:41" ht="208.5" customHeight="1">
      <c r="A6" s="81"/>
      <c r="B6" s="81"/>
      <c r="C6" s="81"/>
      <c r="D6" s="59" t="s">
        <v>41</v>
      </c>
      <c r="E6" s="59" t="s">
        <v>36</v>
      </c>
      <c r="F6" s="59" t="s">
        <v>37</v>
      </c>
      <c r="G6" s="59" t="s">
        <v>38</v>
      </c>
      <c r="H6" s="59" t="s">
        <v>39</v>
      </c>
      <c r="I6" s="59" t="s">
        <v>40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</row>
    <row r="7" spans="1:41">
      <c r="A7" s="81"/>
      <c r="B7" s="81"/>
      <c r="C7" s="59" t="s">
        <v>2</v>
      </c>
      <c r="D7" s="59" t="s">
        <v>2</v>
      </c>
      <c r="E7" s="59" t="s">
        <v>2</v>
      </c>
      <c r="F7" s="59" t="s">
        <v>2</v>
      </c>
      <c r="G7" s="59" t="s">
        <v>2</v>
      </c>
      <c r="H7" s="59" t="s">
        <v>2</v>
      </c>
      <c r="I7" s="59" t="s">
        <v>2</v>
      </c>
      <c r="J7" s="60" t="s">
        <v>14</v>
      </c>
      <c r="K7" s="59" t="s">
        <v>2</v>
      </c>
      <c r="L7" s="59" t="s">
        <v>15</v>
      </c>
      <c r="M7" s="59" t="s">
        <v>2</v>
      </c>
      <c r="N7" s="59" t="s">
        <v>15</v>
      </c>
      <c r="O7" s="59" t="s">
        <v>2</v>
      </c>
      <c r="P7" s="59" t="s">
        <v>15</v>
      </c>
      <c r="Q7" s="59" t="s">
        <v>2</v>
      </c>
      <c r="R7" s="59" t="s">
        <v>16</v>
      </c>
      <c r="S7" s="59" t="s">
        <v>2</v>
      </c>
      <c r="T7" s="59" t="s">
        <v>2</v>
      </c>
      <c r="U7" s="59" t="s">
        <v>2</v>
      </c>
      <c r="V7" s="59" t="s">
        <v>2</v>
      </c>
      <c r="W7" s="59" t="s">
        <v>2</v>
      </c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19.5" thickBot="1">
      <c r="A8" s="61">
        <v>1</v>
      </c>
      <c r="B8" s="62">
        <v>2</v>
      </c>
      <c r="C8" s="62">
        <v>3</v>
      </c>
      <c r="D8" s="63">
        <v>4</v>
      </c>
      <c r="E8" s="62">
        <v>5</v>
      </c>
      <c r="F8" s="63">
        <v>6</v>
      </c>
      <c r="G8" s="62">
        <v>7</v>
      </c>
      <c r="H8" s="63">
        <v>8</v>
      </c>
      <c r="I8" s="62">
        <v>9</v>
      </c>
      <c r="J8" s="64">
        <v>10</v>
      </c>
      <c r="K8" s="62">
        <v>11</v>
      </c>
      <c r="L8" s="63">
        <v>12</v>
      </c>
      <c r="M8" s="62">
        <v>13</v>
      </c>
      <c r="N8" s="63">
        <v>14</v>
      </c>
      <c r="O8" s="62">
        <v>15</v>
      </c>
      <c r="P8" s="63">
        <v>16</v>
      </c>
      <c r="Q8" s="62">
        <v>17</v>
      </c>
      <c r="R8" s="63">
        <v>18</v>
      </c>
      <c r="S8" s="62">
        <v>19</v>
      </c>
      <c r="T8" s="63">
        <v>20</v>
      </c>
      <c r="U8" s="62">
        <v>21</v>
      </c>
      <c r="V8" s="63">
        <v>22</v>
      </c>
      <c r="W8" s="62">
        <v>23</v>
      </c>
    </row>
    <row r="9" spans="1:41" ht="19.5" hidden="1" thickBot="1">
      <c r="A9" s="79" t="s">
        <v>20</v>
      </c>
      <c r="B9" s="80"/>
      <c r="C9" s="65">
        <f>C10+C13+C15+C18+C21+C27+C62+C152+C154+C157+C163+C172+C182+C184+C186+C196+C201+C203+C208+C227+C229</f>
        <v>744590915.20000017</v>
      </c>
      <c r="D9" s="65">
        <f>D10+D13+D15+D18+D21+D27+D62+D152+D154+D157+D163+D172+D182+D184+D186+D196+D201+D203+D208+D227+D229</f>
        <v>101204948.18083332</v>
      </c>
      <c r="E9" s="65">
        <f t="shared" ref="E9:W9" si="0">E10+E13+E15+E18+E21+E27+E62+E152+E154+E157+E163+E172+E182+E184+E186+E196+E201+E203+E208+E227+E229</f>
        <v>24526265.809111111</v>
      </c>
      <c r="F9" s="65">
        <f t="shared" si="0"/>
        <v>43925545.407027781</v>
      </c>
      <c r="G9" s="65">
        <f t="shared" si="0"/>
        <v>96620.534</v>
      </c>
      <c r="H9" s="65">
        <f t="shared" si="0"/>
        <v>12786705.335944446</v>
      </c>
      <c r="I9" s="65">
        <f t="shared" si="0"/>
        <v>7028830.2034444446</v>
      </c>
      <c r="J9" s="67">
        <f>J10+J13+J15+J18+J21+J27+J62+J152+J154+J157+J163+J172+J182+J184+J186+J196+J201+J203+J208+J227+J229</f>
        <v>266</v>
      </c>
      <c r="K9" s="65">
        <f t="shared" si="0"/>
        <v>379351727.11000001</v>
      </c>
      <c r="L9" s="65">
        <f t="shared" si="0"/>
        <v>66453.88</v>
      </c>
      <c r="M9" s="65">
        <f t="shared" si="0"/>
        <v>157538806.31250003</v>
      </c>
      <c r="N9" s="65">
        <f t="shared" si="0"/>
        <v>6699.5700000000006</v>
      </c>
      <c r="O9" s="65">
        <f t="shared" si="0"/>
        <v>5516759.9776111105</v>
      </c>
      <c r="P9" s="65">
        <f t="shared" si="0"/>
        <v>26556.1</v>
      </c>
      <c r="Q9" s="65">
        <f t="shared" si="0"/>
        <v>2839376.19</v>
      </c>
      <c r="R9" s="65">
        <f>R10+R13+R15+R18+R21+R27+R62+R152+R154+R157+R163+R172+R182+R184+R186+R196+R201+R203+R208+R227+R229</f>
        <v>676.63999999999987</v>
      </c>
      <c r="S9" s="65">
        <f t="shared" si="0"/>
        <v>14100156.3675</v>
      </c>
      <c r="T9" s="65">
        <f t="shared" si="0"/>
        <v>89555901.039166674</v>
      </c>
      <c r="U9" s="65">
        <f t="shared" si="0"/>
        <v>0</v>
      </c>
      <c r="V9" s="65">
        <f t="shared" si="0"/>
        <v>7324220.913694446</v>
      </c>
      <c r="W9" s="66">
        <f t="shared" si="0"/>
        <v>0</v>
      </c>
      <c r="X9" s="16"/>
    </row>
    <row r="10" spans="1:41" ht="18.75" hidden="1" customHeight="1" thickBot="1">
      <c r="A10" s="77" t="s">
        <v>25</v>
      </c>
      <c r="B10" s="78"/>
      <c r="C10" s="68">
        <f>C11+C12</f>
        <v>2313505.77</v>
      </c>
      <c r="D10" s="68">
        <f t="shared" ref="D10:W10" si="1">D11+D12</f>
        <v>0</v>
      </c>
      <c r="E10" s="68">
        <f t="shared" si="1"/>
        <v>0</v>
      </c>
      <c r="F10" s="68">
        <f t="shared" si="1"/>
        <v>0</v>
      </c>
      <c r="G10" s="68">
        <f t="shared" si="1"/>
        <v>0</v>
      </c>
      <c r="H10" s="68">
        <f t="shared" si="1"/>
        <v>0</v>
      </c>
      <c r="I10" s="68">
        <f t="shared" si="1"/>
        <v>0</v>
      </c>
      <c r="J10" s="69">
        <f t="shared" si="1"/>
        <v>0</v>
      </c>
      <c r="K10" s="68">
        <f t="shared" si="1"/>
        <v>0</v>
      </c>
      <c r="L10" s="68">
        <f t="shared" si="1"/>
        <v>1110.53</v>
      </c>
      <c r="M10" s="68">
        <f t="shared" si="1"/>
        <v>2313505.77</v>
      </c>
      <c r="N10" s="68">
        <f t="shared" si="1"/>
        <v>0</v>
      </c>
      <c r="O10" s="68">
        <f t="shared" si="1"/>
        <v>0</v>
      </c>
      <c r="P10" s="68">
        <f t="shared" si="1"/>
        <v>0</v>
      </c>
      <c r="Q10" s="68">
        <f t="shared" si="1"/>
        <v>0</v>
      </c>
      <c r="R10" s="68">
        <f t="shared" si="1"/>
        <v>0</v>
      </c>
      <c r="S10" s="68">
        <f t="shared" si="1"/>
        <v>0</v>
      </c>
      <c r="T10" s="68">
        <f t="shared" si="1"/>
        <v>0</v>
      </c>
      <c r="U10" s="68">
        <f t="shared" si="1"/>
        <v>0</v>
      </c>
      <c r="V10" s="68">
        <f t="shared" si="1"/>
        <v>0</v>
      </c>
      <c r="W10" s="70">
        <f t="shared" si="1"/>
        <v>0</v>
      </c>
      <c r="X10" s="16"/>
    </row>
    <row r="11" spans="1:41" ht="18.75" hidden="1" customHeight="1">
      <c r="A11" s="45">
        <v>1</v>
      </c>
      <c r="B11" s="17" t="s">
        <v>248</v>
      </c>
      <c r="C11" s="18">
        <f>M11</f>
        <v>996103.45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9">
        <v>0</v>
      </c>
      <c r="K11" s="18">
        <v>0</v>
      </c>
      <c r="L11" s="18">
        <v>451</v>
      </c>
      <c r="M11" s="18">
        <v>996103.45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49">
        <v>0</v>
      </c>
      <c r="X11" s="16"/>
    </row>
    <row r="12" spans="1:41" ht="18.75" hidden="1" customHeight="1" thickBot="1">
      <c r="A12" s="46">
        <v>2</v>
      </c>
      <c r="B12" s="20" t="s">
        <v>49</v>
      </c>
      <c r="C12" s="21">
        <f>M12</f>
        <v>1317402.32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2">
        <v>0</v>
      </c>
      <c r="K12" s="21">
        <v>0</v>
      </c>
      <c r="L12" s="21">
        <v>659.53</v>
      </c>
      <c r="M12" s="21">
        <v>1317402.32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50">
        <v>0</v>
      </c>
      <c r="X12" s="16"/>
    </row>
    <row r="13" spans="1:41" ht="18.75" hidden="1" customHeight="1" thickBot="1">
      <c r="A13" s="77" t="s">
        <v>26</v>
      </c>
      <c r="B13" s="78"/>
      <c r="C13" s="68">
        <f t="shared" ref="C13:W13" si="2">C14</f>
        <v>5094660.0199999996</v>
      </c>
      <c r="D13" s="68">
        <f t="shared" si="2"/>
        <v>736364.35499999998</v>
      </c>
      <c r="E13" s="68">
        <f t="shared" si="2"/>
        <v>486986.33750000002</v>
      </c>
      <c r="F13" s="68">
        <f t="shared" si="2"/>
        <v>0</v>
      </c>
      <c r="G13" s="68">
        <f t="shared" si="2"/>
        <v>0</v>
      </c>
      <c r="H13" s="68">
        <f t="shared" si="2"/>
        <v>0</v>
      </c>
      <c r="I13" s="68">
        <f t="shared" si="2"/>
        <v>249378.01749999999</v>
      </c>
      <c r="J13" s="69">
        <f t="shared" si="2"/>
        <v>0</v>
      </c>
      <c r="K13" s="68">
        <f t="shared" si="2"/>
        <v>0</v>
      </c>
      <c r="L13" s="68">
        <f t="shared" si="2"/>
        <v>1143.2</v>
      </c>
      <c r="M13" s="68">
        <f t="shared" si="2"/>
        <v>4358295.665</v>
      </c>
      <c r="N13" s="68">
        <f t="shared" si="2"/>
        <v>0</v>
      </c>
      <c r="O13" s="68">
        <f t="shared" si="2"/>
        <v>0</v>
      </c>
      <c r="P13" s="68">
        <f t="shared" si="2"/>
        <v>0</v>
      </c>
      <c r="Q13" s="68">
        <f t="shared" si="2"/>
        <v>0</v>
      </c>
      <c r="R13" s="68">
        <f t="shared" si="2"/>
        <v>0</v>
      </c>
      <c r="S13" s="68">
        <f t="shared" si="2"/>
        <v>0</v>
      </c>
      <c r="T13" s="68">
        <f t="shared" si="2"/>
        <v>0</v>
      </c>
      <c r="U13" s="68">
        <f t="shared" si="2"/>
        <v>0</v>
      </c>
      <c r="V13" s="68">
        <f t="shared" si="2"/>
        <v>0</v>
      </c>
      <c r="W13" s="70">
        <f t="shared" si="2"/>
        <v>0</v>
      </c>
      <c r="X13" s="16"/>
    </row>
    <row r="14" spans="1:41" ht="18.75" hidden="1" customHeight="1" thickBot="1">
      <c r="A14" s="47">
        <v>3</v>
      </c>
      <c r="B14" s="23" t="s">
        <v>50</v>
      </c>
      <c r="C14" s="24">
        <f>D14+K14+M14</f>
        <v>5094660.0199999996</v>
      </c>
      <c r="D14" s="24">
        <f>E14+F14+G14+H14+I14+O14+V14</f>
        <v>736364.35499999998</v>
      </c>
      <c r="E14" s="24">
        <f>(104693.35/2+97754/2)/2+436374.5</f>
        <v>486986.33750000002</v>
      </c>
      <c r="F14" s="24">
        <v>0</v>
      </c>
      <c r="G14" s="24">
        <v>0</v>
      </c>
      <c r="H14" s="24">
        <v>0</v>
      </c>
      <c r="I14" s="24">
        <f>(104693.35/2+97754/2)/2+198766.18</f>
        <v>249378.01749999999</v>
      </c>
      <c r="J14" s="25">
        <v>0</v>
      </c>
      <c r="K14" s="24">
        <v>0</v>
      </c>
      <c r="L14" s="24">
        <v>1143.2</v>
      </c>
      <c r="M14" s="24">
        <v>4358295.665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51">
        <v>0</v>
      </c>
      <c r="X14" s="16"/>
    </row>
    <row r="15" spans="1:41" ht="18.75" hidden="1" customHeight="1" thickBot="1">
      <c r="A15" s="77" t="s">
        <v>27</v>
      </c>
      <c r="B15" s="78"/>
      <c r="C15" s="68">
        <f>C16+C17</f>
        <v>1613043.0899999999</v>
      </c>
      <c r="D15" s="68">
        <f t="shared" ref="D15:W15" si="3">D16+D17</f>
        <v>0</v>
      </c>
      <c r="E15" s="68">
        <f t="shared" si="3"/>
        <v>0</v>
      </c>
      <c r="F15" s="68">
        <f t="shared" si="3"/>
        <v>0</v>
      </c>
      <c r="G15" s="68">
        <f t="shared" si="3"/>
        <v>0</v>
      </c>
      <c r="H15" s="68">
        <f t="shared" si="3"/>
        <v>0</v>
      </c>
      <c r="I15" s="68">
        <f t="shared" si="3"/>
        <v>0</v>
      </c>
      <c r="J15" s="69">
        <f t="shared" si="3"/>
        <v>0</v>
      </c>
      <c r="K15" s="68">
        <f t="shared" si="3"/>
        <v>0</v>
      </c>
      <c r="L15" s="68">
        <f t="shared" si="3"/>
        <v>775</v>
      </c>
      <c r="M15" s="68">
        <f t="shared" si="3"/>
        <v>1613043.0899999999</v>
      </c>
      <c r="N15" s="68">
        <f t="shared" si="3"/>
        <v>0</v>
      </c>
      <c r="O15" s="68">
        <f t="shared" si="3"/>
        <v>0</v>
      </c>
      <c r="P15" s="68">
        <f t="shared" si="3"/>
        <v>0</v>
      </c>
      <c r="Q15" s="68">
        <f t="shared" si="3"/>
        <v>0</v>
      </c>
      <c r="R15" s="68">
        <f t="shared" si="3"/>
        <v>0</v>
      </c>
      <c r="S15" s="68">
        <f t="shared" si="3"/>
        <v>0</v>
      </c>
      <c r="T15" s="68">
        <f t="shared" si="3"/>
        <v>0</v>
      </c>
      <c r="U15" s="68">
        <f t="shared" si="3"/>
        <v>0</v>
      </c>
      <c r="V15" s="68">
        <f t="shared" si="3"/>
        <v>0</v>
      </c>
      <c r="W15" s="70">
        <f t="shared" si="3"/>
        <v>0</v>
      </c>
      <c r="X15" s="16"/>
    </row>
    <row r="16" spans="1:41" ht="18.75" hidden="1" customHeight="1">
      <c r="A16" s="45">
        <v>4</v>
      </c>
      <c r="B16" s="17" t="s">
        <v>51</v>
      </c>
      <c r="C16" s="18">
        <f>M16</f>
        <v>647709.23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9">
        <v>0</v>
      </c>
      <c r="K16" s="18">
        <v>0</v>
      </c>
      <c r="L16" s="18">
        <v>364.6</v>
      </c>
      <c r="M16" s="18">
        <v>647709.23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49">
        <v>0</v>
      </c>
      <c r="X16" s="16"/>
    </row>
    <row r="17" spans="1:24" ht="18.75" hidden="1" customHeight="1" thickBot="1">
      <c r="A17" s="46">
        <v>5</v>
      </c>
      <c r="B17" s="20" t="s">
        <v>52</v>
      </c>
      <c r="C17" s="21">
        <f>M17</f>
        <v>965333.86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2">
        <v>0</v>
      </c>
      <c r="K17" s="21">
        <v>0</v>
      </c>
      <c r="L17" s="21">
        <v>410.4</v>
      </c>
      <c r="M17" s="21">
        <v>965333.86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50">
        <v>0</v>
      </c>
      <c r="X17" s="16"/>
    </row>
    <row r="18" spans="1:24" ht="18.75" hidden="1" customHeight="1" thickBot="1">
      <c r="A18" s="77" t="s">
        <v>24</v>
      </c>
      <c r="B18" s="78"/>
      <c r="C18" s="68">
        <f>C19+C20</f>
        <v>7273313.1100000003</v>
      </c>
      <c r="D18" s="68">
        <f t="shared" ref="D18:W18" si="4">D19+D20</f>
        <v>0</v>
      </c>
      <c r="E18" s="68">
        <f t="shared" si="4"/>
        <v>0</v>
      </c>
      <c r="F18" s="68">
        <f t="shared" si="4"/>
        <v>0</v>
      </c>
      <c r="G18" s="68">
        <f t="shared" si="4"/>
        <v>0</v>
      </c>
      <c r="H18" s="68">
        <f t="shared" si="4"/>
        <v>0</v>
      </c>
      <c r="I18" s="68">
        <f t="shared" si="4"/>
        <v>0</v>
      </c>
      <c r="J18" s="69">
        <f t="shared" si="4"/>
        <v>0</v>
      </c>
      <c r="K18" s="68">
        <f t="shared" si="4"/>
        <v>0</v>
      </c>
      <c r="L18" s="68">
        <f t="shared" si="4"/>
        <v>1167.2</v>
      </c>
      <c r="M18" s="68">
        <f t="shared" si="4"/>
        <v>2181844.41</v>
      </c>
      <c r="N18" s="68">
        <f t="shared" si="4"/>
        <v>0</v>
      </c>
      <c r="O18" s="68">
        <f t="shared" si="4"/>
        <v>0</v>
      </c>
      <c r="P18" s="68">
        <f t="shared" si="4"/>
        <v>1228</v>
      </c>
      <c r="Q18" s="68">
        <f t="shared" si="4"/>
        <v>0</v>
      </c>
      <c r="R18" s="68">
        <f t="shared" si="4"/>
        <v>0</v>
      </c>
      <c r="S18" s="68">
        <f t="shared" si="4"/>
        <v>0</v>
      </c>
      <c r="T18" s="68">
        <f t="shared" si="4"/>
        <v>5091468.7</v>
      </c>
      <c r="U18" s="68">
        <f t="shared" si="4"/>
        <v>0</v>
      </c>
      <c r="V18" s="68">
        <f t="shared" si="4"/>
        <v>0</v>
      </c>
      <c r="W18" s="70">
        <f t="shared" si="4"/>
        <v>0</v>
      </c>
      <c r="X18" s="16"/>
    </row>
    <row r="19" spans="1:24" ht="18.75" hidden="1" customHeight="1">
      <c r="A19" s="45">
        <v>6</v>
      </c>
      <c r="B19" s="17" t="s">
        <v>174</v>
      </c>
      <c r="C19" s="18">
        <f>M19+T19+Q19+O19+S19+D19</f>
        <v>1053493.25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9">
        <v>0</v>
      </c>
      <c r="K19" s="18">
        <v>0</v>
      </c>
      <c r="L19" s="18">
        <v>735.2</v>
      </c>
      <c r="M19" s="18">
        <v>1053493.25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49">
        <v>0</v>
      </c>
      <c r="X19" s="16"/>
    </row>
    <row r="20" spans="1:24" ht="18.75" hidden="1" customHeight="1" thickBot="1">
      <c r="A20" s="46">
        <v>7</v>
      </c>
      <c r="B20" s="20" t="s">
        <v>175</v>
      </c>
      <c r="C20" s="21">
        <f>M20+T20+Q20+O20+S20+D20</f>
        <v>6219819.8600000003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2">
        <v>0</v>
      </c>
      <c r="K20" s="21">
        <v>0</v>
      </c>
      <c r="L20" s="21">
        <v>432</v>
      </c>
      <c r="M20" s="21">
        <v>1128351.1600000001</v>
      </c>
      <c r="N20" s="21">
        <v>0</v>
      </c>
      <c r="O20" s="21">
        <v>0</v>
      </c>
      <c r="P20" s="21">
        <v>1228</v>
      </c>
      <c r="Q20" s="21">
        <v>0</v>
      </c>
      <c r="R20" s="21">
        <v>0</v>
      </c>
      <c r="S20" s="21">
        <v>0</v>
      </c>
      <c r="T20" s="21">
        <v>5091468.7</v>
      </c>
      <c r="U20" s="21">
        <v>0</v>
      </c>
      <c r="V20" s="21">
        <v>0</v>
      </c>
      <c r="W20" s="50">
        <v>0</v>
      </c>
      <c r="X20" s="16"/>
    </row>
    <row r="21" spans="1:24" ht="18.75" hidden="1" customHeight="1" thickBot="1">
      <c r="A21" s="77" t="s">
        <v>3</v>
      </c>
      <c r="B21" s="78"/>
      <c r="C21" s="68">
        <f>SUM(C22:C26)</f>
        <v>15584083.289999999</v>
      </c>
      <c r="D21" s="68">
        <f t="shared" ref="D21:W21" si="5">SUM(D22:D26)</f>
        <v>13687830.390000001</v>
      </c>
      <c r="E21" s="68">
        <f t="shared" si="5"/>
        <v>3529712.8598333336</v>
      </c>
      <c r="F21" s="68">
        <f t="shared" si="5"/>
        <v>6180807.5898333332</v>
      </c>
      <c r="G21" s="68">
        <f t="shared" si="5"/>
        <v>96620.534</v>
      </c>
      <c r="H21" s="68">
        <f t="shared" si="5"/>
        <v>2964210.2698333338</v>
      </c>
      <c r="I21" s="68">
        <f t="shared" si="5"/>
        <v>0</v>
      </c>
      <c r="J21" s="69">
        <f t="shared" si="5"/>
        <v>1</v>
      </c>
      <c r="K21" s="68">
        <f t="shared" si="5"/>
        <v>1896252.9</v>
      </c>
      <c r="L21" s="68">
        <f t="shared" si="5"/>
        <v>0</v>
      </c>
      <c r="M21" s="68">
        <f t="shared" si="5"/>
        <v>0</v>
      </c>
      <c r="N21" s="68">
        <f t="shared" si="5"/>
        <v>0</v>
      </c>
      <c r="O21" s="68">
        <f t="shared" si="5"/>
        <v>0</v>
      </c>
      <c r="P21" s="68">
        <f t="shared" si="5"/>
        <v>0</v>
      </c>
      <c r="Q21" s="68">
        <f t="shared" si="5"/>
        <v>0</v>
      </c>
      <c r="R21" s="68">
        <f t="shared" si="5"/>
        <v>0</v>
      </c>
      <c r="S21" s="68">
        <f t="shared" si="5"/>
        <v>0</v>
      </c>
      <c r="T21" s="68">
        <f t="shared" si="5"/>
        <v>0</v>
      </c>
      <c r="U21" s="68">
        <f t="shared" si="5"/>
        <v>0</v>
      </c>
      <c r="V21" s="68">
        <f t="shared" si="5"/>
        <v>916479.13650000002</v>
      </c>
      <c r="W21" s="70">
        <f t="shared" si="5"/>
        <v>0</v>
      </c>
      <c r="X21" s="16"/>
    </row>
    <row r="22" spans="1:24" ht="18.75" hidden="1" customHeight="1">
      <c r="A22" s="37">
        <v>8</v>
      </c>
      <c r="B22" s="26" t="s">
        <v>165</v>
      </c>
      <c r="C22" s="27">
        <f>D22+K22+M22+Q22+S22+T22</f>
        <v>2463201.84</v>
      </c>
      <c r="D22" s="27">
        <f>E22+F22+G22+H22+I22+O22+V22</f>
        <v>2463201.84</v>
      </c>
      <c r="E22" s="18">
        <f>47840.17/4+142302.5/4+596609.62</f>
        <v>644145.28749999998</v>
      </c>
      <c r="F22" s="18">
        <f>47840.17/4+142302.5/4+1350024.93</f>
        <v>1397560.5974999999</v>
      </c>
      <c r="G22" s="18">
        <v>0</v>
      </c>
      <c r="H22" s="18">
        <f>47840.17/4+142302.5/4+132483.6+162886.11</f>
        <v>342905.3775</v>
      </c>
      <c r="I22" s="18">
        <v>0</v>
      </c>
      <c r="J22" s="19">
        <v>0</v>
      </c>
      <c r="K22" s="18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18">
        <f>47840.17/4+142302.5/4+31054.91</f>
        <v>78590.577499999999</v>
      </c>
      <c r="W22" s="52">
        <v>0</v>
      </c>
      <c r="X22" s="16"/>
    </row>
    <row r="23" spans="1:24" ht="18.75" hidden="1" customHeight="1">
      <c r="A23" s="41">
        <v>9</v>
      </c>
      <c r="B23" s="10" t="s">
        <v>53</v>
      </c>
      <c r="C23" s="3">
        <f>D23+K23+M23+Q23+S23+T23</f>
        <v>3318420.2199999997</v>
      </c>
      <c r="D23" s="4">
        <f>E23+F23+G23+H23+I23+O23+V23</f>
        <v>3318420.2199999997</v>
      </c>
      <c r="E23" s="4">
        <f>67989.32/5+73360/5+811505.02</f>
        <v>839774.88400000008</v>
      </c>
      <c r="F23" s="4">
        <f>67989.32/5+73360/5+910208.65</f>
        <v>938478.51399999997</v>
      </c>
      <c r="G23" s="4">
        <f>67989.32/5+73360/5+68350.67</f>
        <v>96620.534</v>
      </c>
      <c r="H23" s="4">
        <f>67989.32/5+73360/5+104864.86+853906.52</f>
        <v>987041.24399999995</v>
      </c>
      <c r="I23" s="4">
        <v>0</v>
      </c>
      <c r="J23" s="7">
        <v>0</v>
      </c>
      <c r="K23" s="4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4">
        <f>67989.32/5+73360/5+428235.18</f>
        <v>456505.04399999999</v>
      </c>
      <c r="W23" s="42">
        <v>0</v>
      </c>
      <c r="X23" s="16"/>
    </row>
    <row r="24" spans="1:24" ht="18.75" hidden="1" customHeight="1">
      <c r="A24" s="41">
        <v>10</v>
      </c>
      <c r="B24" s="10" t="s">
        <v>54</v>
      </c>
      <c r="C24" s="3">
        <f>D24+K24+M24+Q24+S24+T24</f>
        <v>4429922.46</v>
      </c>
      <c r="D24" s="3">
        <f>E24+F24+G24+H24+I24+O24+V24</f>
        <v>4429922.46</v>
      </c>
      <c r="E24" s="3">
        <f>91132.58/4+80258/4+886385.26</f>
        <v>929232.90500000003</v>
      </c>
      <c r="F24" s="3">
        <f>91132.58/4+80258/4+1831830.97</f>
        <v>1874678.615</v>
      </c>
      <c r="G24" s="3">
        <v>0</v>
      </c>
      <c r="H24" s="3">
        <f>91132.58/4+80258/4+430665.07+771114.71</f>
        <v>1244627.425</v>
      </c>
      <c r="I24" s="3">
        <v>0</v>
      </c>
      <c r="J24" s="7">
        <v>0</v>
      </c>
      <c r="K24" s="4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f>91132.58/4+80258/4+338535.87</f>
        <v>381383.51500000001</v>
      </c>
      <c r="W24" s="42">
        <v>0</v>
      </c>
      <c r="X24" s="16"/>
    </row>
    <row r="25" spans="1:24" hidden="1">
      <c r="A25" s="41">
        <v>11</v>
      </c>
      <c r="B25" s="10" t="s">
        <v>247</v>
      </c>
      <c r="C25" s="3">
        <f>D25+K25+M25+Q25+S25+T25</f>
        <v>1896252.9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8">
        <v>1</v>
      </c>
      <c r="K25" s="3">
        <v>1896252.9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42">
        <v>0</v>
      </c>
      <c r="X25" s="16"/>
    </row>
    <row r="26" spans="1:24" ht="18.75" hidden="1" customHeight="1" thickBot="1">
      <c r="A26" s="39">
        <v>12</v>
      </c>
      <c r="B26" s="28" t="s">
        <v>55</v>
      </c>
      <c r="C26" s="29">
        <f>D26+K26+M26+Q26+S26+T26</f>
        <v>3476285.87</v>
      </c>
      <c r="D26" s="29">
        <f>E26+F26+G26+H26+I26+O26+V26</f>
        <v>3476285.87</v>
      </c>
      <c r="E26" s="29">
        <f>70798.28/3+97157/3+1060574.69</f>
        <v>1116559.7833333332</v>
      </c>
      <c r="F26" s="29">
        <f>70798.28/3+97157/3+1914104.77</f>
        <v>1970089.8633333333</v>
      </c>
      <c r="G26" s="29">
        <v>0</v>
      </c>
      <c r="H26" s="29">
        <f>70798.28/3+97157/3+172687.73+160963.4</f>
        <v>389636.22333333339</v>
      </c>
      <c r="I26" s="29">
        <v>0</v>
      </c>
      <c r="J26" s="22">
        <v>0</v>
      </c>
      <c r="K26" s="21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43">
        <v>0</v>
      </c>
      <c r="X26" s="16"/>
    </row>
    <row r="27" spans="1:24" ht="18.75" hidden="1" customHeight="1" thickBot="1">
      <c r="A27" s="77" t="s">
        <v>5</v>
      </c>
      <c r="B27" s="78"/>
      <c r="C27" s="68">
        <f>SUM(C28:C61)</f>
        <v>76205272.980000004</v>
      </c>
      <c r="D27" s="68">
        <f t="shared" ref="D27:W27" si="6">SUM(D28:D61)</f>
        <v>18767978.314999998</v>
      </c>
      <c r="E27" s="68">
        <f t="shared" si="6"/>
        <v>3833493.0179999997</v>
      </c>
      <c r="F27" s="68">
        <f t="shared" si="6"/>
        <v>8346594.5279999999</v>
      </c>
      <c r="G27" s="68">
        <f t="shared" si="6"/>
        <v>0</v>
      </c>
      <c r="H27" s="68">
        <f t="shared" si="6"/>
        <v>1591050.7663333332</v>
      </c>
      <c r="I27" s="68">
        <f t="shared" si="6"/>
        <v>1770002.8880000003</v>
      </c>
      <c r="J27" s="69">
        <f t="shared" si="6"/>
        <v>13</v>
      </c>
      <c r="K27" s="68">
        <f t="shared" si="6"/>
        <v>16659474.9</v>
      </c>
      <c r="L27" s="68">
        <f t="shared" si="6"/>
        <v>15876.730000000001</v>
      </c>
      <c r="M27" s="68">
        <f t="shared" si="6"/>
        <v>40777819.765000001</v>
      </c>
      <c r="N27" s="68">
        <f t="shared" si="6"/>
        <v>1133.4000000000001</v>
      </c>
      <c r="O27" s="68">
        <f t="shared" si="6"/>
        <v>1830035.9533333334</v>
      </c>
      <c r="P27" s="68">
        <f t="shared" si="6"/>
        <v>0</v>
      </c>
      <c r="Q27" s="68">
        <f t="shared" si="6"/>
        <v>0</v>
      </c>
      <c r="R27" s="68">
        <f t="shared" si="6"/>
        <v>0</v>
      </c>
      <c r="S27" s="68">
        <f t="shared" si="6"/>
        <v>0</v>
      </c>
      <c r="T27" s="68">
        <f t="shared" si="6"/>
        <v>0</v>
      </c>
      <c r="U27" s="68">
        <f t="shared" si="6"/>
        <v>0</v>
      </c>
      <c r="V27" s="68">
        <f t="shared" si="6"/>
        <v>1396801.1613333335</v>
      </c>
      <c r="W27" s="70">
        <f t="shared" si="6"/>
        <v>0</v>
      </c>
      <c r="X27" s="16"/>
    </row>
    <row r="28" spans="1:24" ht="18.75" hidden="1" customHeight="1">
      <c r="A28" s="37">
        <v>13</v>
      </c>
      <c r="B28" s="30" t="s">
        <v>206</v>
      </c>
      <c r="C28" s="27">
        <f>D28+K28+M28+Q28+S28+T28</f>
        <v>1229164.52</v>
      </c>
      <c r="D28" s="27">
        <f>E28+F28+G28+H28+I28+O28+V28</f>
        <v>1229164.52</v>
      </c>
      <c r="E28" s="27">
        <f>(21546.1+156161)/5+287619.12</f>
        <v>323160.53999999998</v>
      </c>
      <c r="F28" s="27">
        <f>(21546.1+156161)/5+452853.14</f>
        <v>488394.56</v>
      </c>
      <c r="G28" s="27">
        <v>0</v>
      </c>
      <c r="H28" s="27">
        <f>(21546.1+156161)/5+52122.84</f>
        <v>87664.26</v>
      </c>
      <c r="I28" s="27">
        <f>(21546.1+156161)/5+88757.06</f>
        <v>124298.48</v>
      </c>
      <c r="J28" s="19">
        <v>0</v>
      </c>
      <c r="K28" s="18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f>(21546.1+156161)/5+34272.13+135833.13</f>
        <v>205646.68</v>
      </c>
      <c r="W28" s="52">
        <v>0</v>
      </c>
      <c r="X28" s="16"/>
    </row>
    <row r="29" spans="1:24" ht="18.75" hidden="1" customHeight="1">
      <c r="A29" s="41">
        <v>14</v>
      </c>
      <c r="B29" s="10" t="s">
        <v>207</v>
      </c>
      <c r="C29" s="3">
        <f>D29+K29+M29+Q29+S29+T29</f>
        <v>1745514.24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7">
        <v>0</v>
      </c>
      <c r="K29" s="4">
        <v>0</v>
      </c>
      <c r="L29" s="3">
        <v>615</v>
      </c>
      <c r="M29" s="3">
        <v>1745514.24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53">
        <v>0</v>
      </c>
      <c r="X29" s="16"/>
    </row>
    <row r="30" spans="1:24" ht="18.75" hidden="1" customHeight="1">
      <c r="A30" s="41">
        <v>15</v>
      </c>
      <c r="B30" s="10" t="s">
        <v>208</v>
      </c>
      <c r="C30" s="3">
        <f>D30+K30+M30+Q30+S30+T30</f>
        <v>1165537.03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7">
        <v>0</v>
      </c>
      <c r="K30" s="4">
        <v>0</v>
      </c>
      <c r="L30" s="3">
        <v>410</v>
      </c>
      <c r="M30" s="3">
        <v>1165537.03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53">
        <v>0</v>
      </c>
      <c r="X30" s="16"/>
    </row>
    <row r="31" spans="1:24" ht="18.75" hidden="1" customHeight="1">
      <c r="A31" s="41">
        <v>16</v>
      </c>
      <c r="B31" s="10" t="s">
        <v>205</v>
      </c>
      <c r="C31" s="3">
        <f>D31+K31+M31+Q31+S31+T31</f>
        <v>1389616.39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7">
        <v>0</v>
      </c>
      <c r="K31" s="4">
        <v>0</v>
      </c>
      <c r="L31" s="3">
        <v>690.24</v>
      </c>
      <c r="M31" s="3">
        <v>1389616.39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53">
        <v>0</v>
      </c>
      <c r="X31" s="16"/>
    </row>
    <row r="32" spans="1:24" ht="18.75" hidden="1" customHeight="1">
      <c r="A32" s="41">
        <v>17</v>
      </c>
      <c r="B32" s="10" t="s">
        <v>204</v>
      </c>
      <c r="C32" s="3">
        <f>D32+K32+M32+Q32+S32+T32</f>
        <v>2350780.2400000002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8">
        <v>2</v>
      </c>
      <c r="K32" s="3">
        <v>2350780.2400000002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42">
        <v>0</v>
      </c>
      <c r="X32" s="16"/>
    </row>
    <row r="33" spans="1:24" ht="18.75" hidden="1" customHeight="1">
      <c r="A33" s="41">
        <v>18</v>
      </c>
      <c r="B33" s="10" t="s">
        <v>202</v>
      </c>
      <c r="C33" s="4">
        <f>E33+K33+M33</f>
        <v>1587174.22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7">
        <v>1</v>
      </c>
      <c r="K33" s="3">
        <v>1587174.22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42">
        <v>0</v>
      </c>
      <c r="X33" s="16"/>
    </row>
    <row r="34" spans="1:24" ht="18.75" hidden="1" customHeight="1">
      <c r="A34" s="41">
        <v>19</v>
      </c>
      <c r="B34" s="10" t="s">
        <v>203</v>
      </c>
      <c r="C34" s="4">
        <f>E34+K34+M34</f>
        <v>1599666.14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7">
        <v>1</v>
      </c>
      <c r="K34" s="3">
        <v>1599666.14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42">
        <v>0</v>
      </c>
      <c r="X34" s="16"/>
    </row>
    <row r="35" spans="1:24" ht="18.75" hidden="1" customHeight="1">
      <c r="A35" s="41">
        <v>20</v>
      </c>
      <c r="B35" s="10" t="s">
        <v>56</v>
      </c>
      <c r="C35" s="3">
        <f t="shared" ref="C35:C61" si="7">D35+K35+M35+Q35+S35+T35</f>
        <v>5514884.4400000004</v>
      </c>
      <c r="D35" s="3">
        <f>E35+F35+G35+H35+I35+O35+V35</f>
        <v>2311154.0100000002</v>
      </c>
      <c r="E35" s="12">
        <f>(112571.92+141942.5)/2/6+306609.74</f>
        <v>327819.27499999997</v>
      </c>
      <c r="F35" s="12">
        <f>(112571.92+141942.5)/2/6+725232.44</f>
        <v>746441.97499999998</v>
      </c>
      <c r="G35" s="12">
        <v>0</v>
      </c>
      <c r="H35" s="12">
        <f>(112571.92+141942.5)/2/6+101120.56</f>
        <v>122330.095</v>
      </c>
      <c r="I35" s="12">
        <f>(112571.92+141942.5)/2/6+131776.3</f>
        <v>152985.83499999999</v>
      </c>
      <c r="J35" s="7">
        <v>0</v>
      </c>
      <c r="K35" s="4">
        <v>0</v>
      </c>
      <c r="L35" s="12">
        <v>952</v>
      </c>
      <c r="M35" s="12">
        <f>(112571.92+141942.5)/2+3076473.22</f>
        <v>3203730.43</v>
      </c>
      <c r="N35" s="4">
        <v>391</v>
      </c>
      <c r="O35" s="12">
        <f>(112571.92+141942.5)/2/6+595010.95</f>
        <v>616220.48499999999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12">
        <f>(112571.92+141942.5)/2/6+31143.67+293003.14</f>
        <v>345356.34500000003</v>
      </c>
      <c r="W35" s="53">
        <v>0</v>
      </c>
      <c r="X35" s="16"/>
    </row>
    <row r="36" spans="1:24" ht="18.75" hidden="1" customHeight="1">
      <c r="A36" s="41">
        <v>21</v>
      </c>
      <c r="B36" s="10" t="s">
        <v>57</v>
      </c>
      <c r="C36" s="3">
        <f t="shared" si="7"/>
        <v>5768507.7800000003</v>
      </c>
      <c r="D36" s="3">
        <f>E36+F36+G36+H36+I36+O36+V36</f>
        <v>2413400.605</v>
      </c>
      <c r="E36" s="3">
        <f>(114478.31/2+240412.38/2)/6+295559.93</f>
        <v>325134.15416666667</v>
      </c>
      <c r="F36" s="3">
        <f>(114478.31/2+240412.38/2)/6+714398.58</f>
        <v>743972.80416666658</v>
      </c>
      <c r="G36" s="3">
        <v>0</v>
      </c>
      <c r="H36" s="3">
        <f>(114478.31/2+240412.38/2)/6+107413.69</f>
        <v>136987.91416666668</v>
      </c>
      <c r="I36" s="3">
        <f>(114478.31/2+240412.38/2)/6+122844.89</f>
        <v>152419.11416666667</v>
      </c>
      <c r="J36" s="7">
        <v>0</v>
      </c>
      <c r="K36" s="4">
        <v>0</v>
      </c>
      <c r="L36" s="12">
        <v>974</v>
      </c>
      <c r="M36" s="12">
        <f>114478.31/2+240412.38/2+3177661.83</f>
        <v>3355107.1750000003</v>
      </c>
      <c r="N36" s="4">
        <v>412.4</v>
      </c>
      <c r="O36" s="3">
        <f>(114478.31/2+240412.38/2)/6+671591.36</f>
        <v>701165.58416666661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3">
        <f>(114478.31/2+240412.38/2)/6+31143.67+293003.14</f>
        <v>353721.03416666668</v>
      </c>
      <c r="W36" s="53">
        <v>0</v>
      </c>
      <c r="X36" s="16"/>
    </row>
    <row r="37" spans="1:24" ht="18.75" hidden="1" customHeight="1">
      <c r="A37" s="41">
        <v>22</v>
      </c>
      <c r="B37" s="10" t="s">
        <v>209</v>
      </c>
      <c r="C37" s="3">
        <f t="shared" si="7"/>
        <v>5973217.1500000004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8">
        <v>5</v>
      </c>
      <c r="K37" s="3">
        <v>5973217.1500000004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42">
        <v>0</v>
      </c>
      <c r="X37" s="16"/>
    </row>
    <row r="38" spans="1:24" ht="18.75" hidden="1" customHeight="1">
      <c r="A38" s="41">
        <v>23</v>
      </c>
      <c r="B38" s="10" t="s">
        <v>58</v>
      </c>
      <c r="C38" s="3">
        <f t="shared" si="7"/>
        <v>2282893.02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7">
        <v>0</v>
      </c>
      <c r="K38" s="4">
        <v>0</v>
      </c>
      <c r="L38" s="3">
        <v>993</v>
      </c>
      <c r="M38" s="3">
        <v>2282893.02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53">
        <v>0</v>
      </c>
      <c r="X38" s="16"/>
    </row>
    <row r="39" spans="1:24" ht="18.75" hidden="1" customHeight="1">
      <c r="A39" s="41">
        <v>24</v>
      </c>
      <c r="B39" s="10" t="s">
        <v>59</v>
      </c>
      <c r="C39" s="3">
        <f t="shared" si="7"/>
        <v>2575316.3199999998</v>
      </c>
      <c r="D39" s="3">
        <f>E39+F39+G39+H39+I39+O39+V39</f>
        <v>950767.39</v>
      </c>
      <c r="E39" s="3">
        <f>(50333.5/2+172950/2)/4+206352.73</f>
        <v>234263.16750000001</v>
      </c>
      <c r="F39" s="3">
        <f>(50333.5/2+172950/2)/4+591511.64</f>
        <v>619422.07750000001</v>
      </c>
      <c r="G39" s="3">
        <v>0</v>
      </c>
      <c r="H39" s="3">
        <f>(50333.5/2+172950/2)/4+2531.64</f>
        <v>30442.077499999999</v>
      </c>
      <c r="I39" s="3">
        <f>(50333.5/2+172950/2)/4+38729.63</f>
        <v>66640.067500000005</v>
      </c>
      <c r="J39" s="7">
        <v>0</v>
      </c>
      <c r="K39" s="4">
        <v>0</v>
      </c>
      <c r="L39" s="3">
        <v>515</v>
      </c>
      <c r="M39" s="3">
        <f>50333.5/2+172950/2+1512907.18</f>
        <v>1624548.93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53">
        <v>0</v>
      </c>
      <c r="X39" s="16"/>
    </row>
    <row r="40" spans="1:24" ht="18.75" hidden="1" customHeight="1">
      <c r="A40" s="41">
        <v>25</v>
      </c>
      <c r="B40" s="10" t="s">
        <v>60</v>
      </c>
      <c r="C40" s="3">
        <f t="shared" si="7"/>
        <v>2221979.1800000002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7">
        <v>0</v>
      </c>
      <c r="K40" s="4">
        <v>0</v>
      </c>
      <c r="L40" s="3">
        <v>944.55</v>
      </c>
      <c r="M40" s="3">
        <v>2221979.1800000002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53">
        <v>0</v>
      </c>
      <c r="X40" s="16"/>
    </row>
    <row r="41" spans="1:24" ht="18.75" hidden="1" customHeight="1">
      <c r="A41" s="41">
        <v>26</v>
      </c>
      <c r="B41" s="10" t="s">
        <v>61</v>
      </c>
      <c r="C41" s="3">
        <f t="shared" si="7"/>
        <v>1914116.2200000002</v>
      </c>
      <c r="D41" s="3">
        <f>E41+F41+G41+H41+I41+O41+V41</f>
        <v>678610.03</v>
      </c>
      <c r="E41" s="12">
        <f>(37823.53/2+108838.15/2)/4+177508.47</f>
        <v>195841.18</v>
      </c>
      <c r="F41" s="12">
        <f>(37823.53/2+108838.15/2)/4+335813.89</f>
        <v>354146.60000000003</v>
      </c>
      <c r="G41" s="3">
        <v>0</v>
      </c>
      <c r="H41" s="12">
        <f>(37823.53/2+108838.15/2)/4+34732.26</f>
        <v>53064.97</v>
      </c>
      <c r="I41" s="12">
        <f>(37823.53/2+108838.15/2)/4+57224.57</f>
        <v>75557.279999999999</v>
      </c>
      <c r="J41" s="7">
        <v>0</v>
      </c>
      <c r="K41" s="4">
        <v>0</v>
      </c>
      <c r="L41" s="12">
        <v>398</v>
      </c>
      <c r="M41" s="12">
        <f>37823.53/2+108838.15/2+1162175.35</f>
        <v>1235506.1900000002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53">
        <v>0</v>
      </c>
      <c r="X41" s="16"/>
    </row>
    <row r="42" spans="1:24" ht="18.75" hidden="1" customHeight="1">
      <c r="A42" s="41">
        <v>27</v>
      </c>
      <c r="B42" s="10" t="s">
        <v>200</v>
      </c>
      <c r="C42" s="3">
        <f t="shared" si="7"/>
        <v>3114748.55</v>
      </c>
      <c r="D42" s="3">
        <f>E42+F42+G42+H42+I42+O42+V42</f>
        <v>1444042.8599999999</v>
      </c>
      <c r="E42" s="3">
        <f>(58218/2+122413/2)/5+291859.11</f>
        <v>309922.20999999996</v>
      </c>
      <c r="F42" s="3">
        <f>(58218/2+122413/2)/5+600810.46</f>
        <v>618873.55999999994</v>
      </c>
      <c r="G42" s="3">
        <v>0</v>
      </c>
      <c r="H42" s="3">
        <f>(58218/2+122413/2)/5+76374.82+209292.46</f>
        <v>303730.38</v>
      </c>
      <c r="I42" s="3">
        <f>(58218/2+122413/2)/5+150740.57</f>
        <v>168803.67</v>
      </c>
      <c r="J42" s="7">
        <v>0</v>
      </c>
      <c r="K42" s="4">
        <v>0</v>
      </c>
      <c r="L42" s="3">
        <v>596</v>
      </c>
      <c r="M42" s="3">
        <f>58218/2+122413/2+1580390.19</f>
        <v>1670705.69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3">
        <f>(58218/2+122413/2)/5+24649.94</f>
        <v>42713.039999999994</v>
      </c>
      <c r="W42" s="53">
        <v>0</v>
      </c>
      <c r="X42" s="16"/>
    </row>
    <row r="43" spans="1:24" ht="18.75" hidden="1" customHeight="1">
      <c r="A43" s="41">
        <v>28</v>
      </c>
      <c r="B43" s="10" t="s">
        <v>201</v>
      </c>
      <c r="C43" s="3">
        <f t="shared" si="7"/>
        <v>1136146.8699999999</v>
      </c>
      <c r="D43" s="3">
        <f>E43+F43+G43+H43+I43+O43+V43</f>
        <v>1136146.8699999999</v>
      </c>
      <c r="E43" s="3">
        <f>21138.65/5+84100/5+264667.88</f>
        <v>285715.61</v>
      </c>
      <c r="F43" s="3">
        <f>21138.65/5+84100/5+472197.79</f>
        <v>493245.51999999996</v>
      </c>
      <c r="G43" s="3">
        <v>0</v>
      </c>
      <c r="H43" s="3">
        <f>21138.65/5+84100/5+90644.44+119825.51</f>
        <v>231517.68</v>
      </c>
      <c r="I43" s="3">
        <f>21138.65/5+84100/5+47786.26</f>
        <v>68833.990000000005</v>
      </c>
      <c r="J43" s="7">
        <v>0</v>
      </c>
      <c r="K43" s="4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f>21138.65/5+84100/5+16779.06+19007.28</f>
        <v>56834.07</v>
      </c>
      <c r="W43" s="42">
        <v>0</v>
      </c>
      <c r="X43" s="16"/>
    </row>
    <row r="44" spans="1:24" ht="18.75" hidden="1" customHeight="1">
      <c r="A44" s="41">
        <v>29</v>
      </c>
      <c r="B44" s="10" t="s">
        <v>62</v>
      </c>
      <c r="C44" s="3">
        <f t="shared" si="7"/>
        <v>3185083.73</v>
      </c>
      <c r="D44" s="3">
        <f>E44+F44+G44+H44+I44+O44+V44</f>
        <v>3185083.73</v>
      </c>
      <c r="E44" s="3">
        <f>63406.81/5+158742/5+633436.24</f>
        <v>677866.00199999998</v>
      </c>
      <c r="F44" s="3">
        <f>63406.81/5+158742/5+1405633.97</f>
        <v>1450063.7320000001</v>
      </c>
      <c r="G44" s="3">
        <v>0</v>
      </c>
      <c r="H44" s="3">
        <f>63406.81/5+158742/5+142305.98+143746.01</f>
        <v>330481.75200000004</v>
      </c>
      <c r="I44" s="3">
        <f>63406.81/5+158742/5+386745.02</f>
        <v>431174.78200000001</v>
      </c>
      <c r="J44" s="7">
        <v>0</v>
      </c>
      <c r="K44" s="4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f>63406.81/5+158742/5+25133.23+23618.71+202315.76</f>
        <v>295497.462</v>
      </c>
      <c r="W44" s="42">
        <v>0</v>
      </c>
      <c r="X44" s="16"/>
    </row>
    <row r="45" spans="1:24" ht="18.75" hidden="1" customHeight="1">
      <c r="A45" s="41">
        <v>30</v>
      </c>
      <c r="B45" s="10" t="s">
        <v>63</v>
      </c>
      <c r="C45" s="3">
        <f t="shared" si="7"/>
        <v>1587877.57</v>
      </c>
      <c r="D45" s="3">
        <f>E45+F45+G45+H45+I45+O45+V45</f>
        <v>442455.47000000003</v>
      </c>
      <c r="E45" s="3">
        <f>(30845.61/2+115647.99/2)/3+127084.55</f>
        <v>151500.15</v>
      </c>
      <c r="F45" s="3">
        <f>(30845.61/2+115647.99/2)/3+231307.38</f>
        <v>255722.98</v>
      </c>
      <c r="G45" s="3">
        <v>0</v>
      </c>
      <c r="H45" s="3">
        <v>0</v>
      </c>
      <c r="I45" s="3">
        <f>(30845.61/2+115647.99/2)/3+10816.74</f>
        <v>35232.340000000004</v>
      </c>
      <c r="J45" s="7">
        <v>0</v>
      </c>
      <c r="K45" s="4">
        <v>0</v>
      </c>
      <c r="L45" s="12">
        <v>384</v>
      </c>
      <c r="M45" s="12">
        <f>30845.61/2+115647.99/2+1072175.3</f>
        <v>1145422.1000000001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53">
        <v>0</v>
      </c>
      <c r="X45" s="16"/>
    </row>
    <row r="46" spans="1:24" ht="18.75" hidden="1" customHeight="1">
      <c r="A46" s="41">
        <v>31</v>
      </c>
      <c r="B46" s="10" t="s">
        <v>64</v>
      </c>
      <c r="C46" s="3">
        <f t="shared" si="7"/>
        <v>1345781.3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7">
        <v>0</v>
      </c>
      <c r="K46" s="4">
        <v>0</v>
      </c>
      <c r="L46" s="3">
        <v>667.1</v>
      </c>
      <c r="M46" s="3">
        <v>1345781.3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53">
        <v>0</v>
      </c>
      <c r="X46" s="16"/>
    </row>
    <row r="47" spans="1:24" ht="18.75" hidden="1" customHeight="1">
      <c r="A47" s="41">
        <v>32</v>
      </c>
      <c r="B47" s="10" t="s">
        <v>65</v>
      </c>
      <c r="C47" s="3">
        <f t="shared" si="7"/>
        <v>1337327.5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7">
        <v>0</v>
      </c>
      <c r="K47" s="4">
        <v>0</v>
      </c>
      <c r="L47" s="3">
        <v>644.66</v>
      </c>
      <c r="M47" s="3">
        <v>1337327.5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53">
        <v>0</v>
      </c>
      <c r="X47" s="16"/>
    </row>
    <row r="48" spans="1:24" ht="18.75" hidden="1" customHeight="1">
      <c r="A48" s="41">
        <v>33</v>
      </c>
      <c r="B48" s="10" t="s">
        <v>66</v>
      </c>
      <c r="C48" s="3">
        <f t="shared" si="7"/>
        <v>1565822.35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7">
        <v>0</v>
      </c>
      <c r="K48" s="4">
        <v>0</v>
      </c>
      <c r="L48" s="3">
        <v>703</v>
      </c>
      <c r="M48" s="3">
        <v>1565822.35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53">
        <v>0</v>
      </c>
      <c r="X48" s="16"/>
    </row>
    <row r="49" spans="1:24" ht="18.75" hidden="1" customHeight="1">
      <c r="A49" s="41">
        <v>34</v>
      </c>
      <c r="B49" s="10" t="s">
        <v>67</v>
      </c>
      <c r="C49" s="3">
        <f t="shared" si="7"/>
        <v>1412389.08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7">
        <v>0</v>
      </c>
      <c r="K49" s="4">
        <v>0</v>
      </c>
      <c r="L49" s="3">
        <v>684.48</v>
      </c>
      <c r="M49" s="3">
        <v>1412389.08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53">
        <v>0</v>
      </c>
      <c r="X49" s="16"/>
    </row>
    <row r="50" spans="1:24" ht="18.75" hidden="1" customHeight="1">
      <c r="A50" s="41">
        <v>35</v>
      </c>
      <c r="B50" s="10" t="s">
        <v>68</v>
      </c>
      <c r="C50" s="3">
        <f t="shared" si="7"/>
        <v>1709875.95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7">
        <v>0</v>
      </c>
      <c r="K50" s="4">
        <v>0</v>
      </c>
      <c r="L50" s="3">
        <v>822.7</v>
      </c>
      <c r="M50" s="3">
        <v>1709875.95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53">
        <v>0</v>
      </c>
      <c r="X50" s="16"/>
    </row>
    <row r="51" spans="1:24" ht="18.75" hidden="1" customHeight="1">
      <c r="A51" s="41">
        <v>36</v>
      </c>
      <c r="B51" s="10" t="s">
        <v>69</v>
      </c>
      <c r="C51" s="3">
        <f t="shared" si="7"/>
        <v>3166491.9699999997</v>
      </c>
      <c r="D51" s="3">
        <f>E51+F51+G51+H51+I51+O51+V51</f>
        <v>1638348.7350000001</v>
      </c>
      <c r="E51" s="12">
        <f>(61794.56/2+217100.97/2)/6+240659.58</f>
        <v>263900.87416666665</v>
      </c>
      <c r="F51" s="12">
        <f>(61794.56/2+217100.97/2)/6+602233.67</f>
        <v>625474.96416666673</v>
      </c>
      <c r="G51" s="3">
        <v>0</v>
      </c>
      <c r="H51" s="12">
        <f>(61794.56/2+217100.97/2)/6+68646.82</f>
        <v>91888.114166666681</v>
      </c>
      <c r="I51" s="12">
        <f>(61794.56/2+217100.97/2)/6+68891.08</f>
        <v>92132.374166666676</v>
      </c>
      <c r="J51" s="7">
        <v>0</v>
      </c>
      <c r="K51" s="4">
        <v>0</v>
      </c>
      <c r="L51" s="12">
        <v>571</v>
      </c>
      <c r="M51" s="12">
        <f>61794.56/2+217100.97/2+1388695.47</f>
        <v>1528143.2349999999</v>
      </c>
      <c r="N51" s="4">
        <v>330</v>
      </c>
      <c r="O51" s="12">
        <f>(61794.56/2+217100.97/2)/6+489408.59</f>
        <v>512649.88416666671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12">
        <f>(61794.56/2+217100.97/2)/6+29061.23</f>
        <v>52302.52416666667</v>
      </c>
      <c r="W51" s="53">
        <v>0</v>
      </c>
      <c r="X51" s="16"/>
    </row>
    <row r="52" spans="1:24" ht="18.75" hidden="1" customHeight="1">
      <c r="A52" s="41">
        <v>37</v>
      </c>
      <c r="B52" s="10" t="s">
        <v>70</v>
      </c>
      <c r="C52" s="3">
        <f t="shared" si="7"/>
        <v>2785187.72</v>
      </c>
      <c r="D52" s="3">
        <f>E52+F52+G52+H52+I52+O52+V52</f>
        <v>1055923.3600000001</v>
      </c>
      <c r="E52" s="12">
        <f>(55614.28/2+130775.22/2)/4+232483.88</f>
        <v>255782.5675</v>
      </c>
      <c r="F52" s="12">
        <f>(55614.28/2+130775.22/2)/4+565385.12</f>
        <v>588683.8075</v>
      </c>
      <c r="G52" s="3">
        <v>0</v>
      </c>
      <c r="H52" s="12">
        <f>(55614.28/2+130775.22/2)/4+25018.39</f>
        <v>48317.077499999999</v>
      </c>
      <c r="I52" s="12">
        <f>(55614.28/2+130775.22/2)/4+139841.22</f>
        <v>163139.9075</v>
      </c>
      <c r="J52" s="7">
        <v>0</v>
      </c>
      <c r="K52" s="4">
        <v>0</v>
      </c>
      <c r="L52" s="12">
        <v>617</v>
      </c>
      <c r="M52" s="12">
        <f>55614.28/2+130775.22/2+1636069.61</f>
        <v>1729264.36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53">
        <v>0</v>
      </c>
      <c r="X52" s="16"/>
    </row>
    <row r="53" spans="1:24" ht="18.75" hidden="1" customHeight="1">
      <c r="A53" s="41">
        <v>38</v>
      </c>
      <c r="B53" s="10" t="s">
        <v>71</v>
      </c>
      <c r="C53" s="3">
        <f t="shared" si="7"/>
        <v>2360083.94</v>
      </c>
      <c r="D53" s="3">
        <f>E53+F53+G53+H53+I53+O53+V53</f>
        <v>1018255.0399999999</v>
      </c>
      <c r="E53" s="3">
        <f>(47147.76/2+109770/2)/5+211592.81</f>
        <v>227284.58600000001</v>
      </c>
      <c r="F53" s="3">
        <f>(47147.76/2+109770/2)/5+525419.95</f>
        <v>541111.72599999991</v>
      </c>
      <c r="G53" s="3">
        <v>0</v>
      </c>
      <c r="H53" s="3">
        <f>(47147.76/2+109770/2)/5+83669.54</f>
        <v>99361.315999999992</v>
      </c>
      <c r="I53" s="3">
        <f>(47147.76/2+109770/2)/5+90075.63</f>
        <v>105767.406</v>
      </c>
      <c r="J53" s="7">
        <v>0</v>
      </c>
      <c r="K53" s="4">
        <v>0</v>
      </c>
      <c r="L53" s="12">
        <v>616</v>
      </c>
      <c r="M53" s="3">
        <f>47147.76/2+109770/2+1263370.02</f>
        <v>1341828.8999999999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3">
        <f>(47147.76/2+109770/2)/5+29038.23</f>
        <v>44730.006000000001</v>
      </c>
      <c r="W53" s="53">
        <v>0</v>
      </c>
      <c r="X53" s="16"/>
    </row>
    <row r="54" spans="1:24" ht="18.75" hidden="1" customHeight="1">
      <c r="A54" s="41">
        <v>39</v>
      </c>
      <c r="B54" s="10" t="s">
        <v>72</v>
      </c>
      <c r="C54" s="3">
        <f t="shared" si="7"/>
        <v>1436449.93</v>
      </c>
      <c r="D54" s="3">
        <f>E54+F54+G54+H54+I54+O54+V54</f>
        <v>543134.55499999993</v>
      </c>
      <c r="E54" s="3">
        <f>(28021.51/2+99012/2)/3+91307.22</f>
        <v>112479.47166666666</v>
      </c>
      <c r="F54" s="3">
        <f>(28021.51/2+99012/2)/3+379677</f>
        <v>400849.25166666665</v>
      </c>
      <c r="G54" s="3">
        <v>0</v>
      </c>
      <c r="H54" s="3">
        <v>0</v>
      </c>
      <c r="I54" s="3">
        <f>(28021.51/2+99012/2)/3+8633.58</f>
        <v>29805.831666666665</v>
      </c>
      <c r="J54" s="7">
        <v>0</v>
      </c>
      <c r="K54" s="4">
        <v>0</v>
      </c>
      <c r="L54" s="12">
        <v>390</v>
      </c>
      <c r="M54" s="12">
        <f>28021.51/2+99012/2+829798.62</f>
        <v>893315.375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53">
        <v>0</v>
      </c>
      <c r="X54" s="16"/>
    </row>
    <row r="55" spans="1:24" ht="18.75" hidden="1" customHeight="1">
      <c r="A55" s="41">
        <v>40</v>
      </c>
      <c r="B55" s="10" t="s">
        <v>73</v>
      </c>
      <c r="C55" s="3">
        <f t="shared" si="7"/>
        <v>1985852.34</v>
      </c>
      <c r="D55" s="3">
        <f>E55+F55+G55+H55+I55+O55+V55</f>
        <v>721491.14000000013</v>
      </c>
      <c r="E55" s="12">
        <f>(39126.59/2+118380.45/2)/4+123134.85</f>
        <v>142823.23000000001</v>
      </c>
      <c r="F55" s="12">
        <f>(39126.59/2+118380.45/2)/4+400502.59</f>
        <v>420190.97000000003</v>
      </c>
      <c r="G55" s="3">
        <v>0</v>
      </c>
      <c r="H55" s="12">
        <f>(39126.59/2+118380.45/2)/4+35576.75</f>
        <v>55265.13</v>
      </c>
      <c r="I55" s="12">
        <f>(39126.59/2+118380.45/2)/4+83523.43</f>
        <v>103211.81</v>
      </c>
      <c r="J55" s="7">
        <v>0</v>
      </c>
      <c r="K55" s="4">
        <v>0</v>
      </c>
      <c r="L55" s="12">
        <v>375</v>
      </c>
      <c r="M55" s="12">
        <f>39126.59/2+118380.45/2+1185607.68</f>
        <v>1264361.2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53">
        <v>0</v>
      </c>
      <c r="X55" s="16"/>
    </row>
    <row r="56" spans="1:24" ht="18.75" hidden="1" customHeight="1">
      <c r="A56" s="41">
        <v>41</v>
      </c>
      <c r="B56" s="10" t="s">
        <v>74</v>
      </c>
      <c r="C56" s="3">
        <f t="shared" si="7"/>
        <v>1219885.3600000001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7">
        <v>0</v>
      </c>
      <c r="K56" s="4">
        <v>0</v>
      </c>
      <c r="L56" s="3">
        <v>284</v>
      </c>
      <c r="M56" s="3">
        <v>1219885.3600000001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53">
        <v>0</v>
      </c>
      <c r="X56" s="16"/>
    </row>
    <row r="57" spans="1:24" ht="18.75" hidden="1" customHeight="1">
      <c r="A57" s="41">
        <v>42</v>
      </c>
      <c r="B57" s="10" t="s">
        <v>75</v>
      </c>
      <c r="C57" s="3">
        <f t="shared" si="7"/>
        <v>1396902.42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7">
        <v>0</v>
      </c>
      <c r="K57" s="4">
        <v>0</v>
      </c>
      <c r="L57" s="14">
        <v>707</v>
      </c>
      <c r="M57" s="3">
        <v>1396902.42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53">
        <v>0</v>
      </c>
      <c r="X57" s="16"/>
    </row>
    <row r="58" spans="1:24" ht="18.75" hidden="1" customHeight="1">
      <c r="A58" s="41">
        <v>43</v>
      </c>
      <c r="B58" s="10" t="s">
        <v>210</v>
      </c>
      <c r="C58" s="3">
        <f t="shared" si="7"/>
        <v>3548322.62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8">
        <v>3</v>
      </c>
      <c r="K58" s="3">
        <v>3548322.62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42">
        <v>0</v>
      </c>
      <c r="X58" s="16"/>
    </row>
    <row r="59" spans="1:24" ht="18.75" hidden="1" customHeight="1">
      <c r="A59" s="41">
        <v>44</v>
      </c>
      <c r="B59" s="10" t="s">
        <v>76</v>
      </c>
      <c r="C59" s="3">
        <f t="shared" si="7"/>
        <v>1600314.53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8">
        <v>1</v>
      </c>
      <c r="K59" s="3">
        <v>1600314.53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42">
        <v>0</v>
      </c>
      <c r="X59" s="16"/>
    </row>
    <row r="60" spans="1:24" ht="18.75" hidden="1" customHeight="1">
      <c r="A60" s="41">
        <v>45</v>
      </c>
      <c r="B60" s="10" t="s">
        <v>77</v>
      </c>
      <c r="C60" s="3">
        <f t="shared" si="7"/>
        <v>1763569.14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7">
        <v>0</v>
      </c>
      <c r="K60" s="4">
        <v>0</v>
      </c>
      <c r="L60" s="3">
        <v>798</v>
      </c>
      <c r="M60" s="3">
        <v>1763569.14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53">
        <v>0</v>
      </c>
      <c r="X60" s="16"/>
    </row>
    <row r="61" spans="1:24" ht="18.75" hidden="1" customHeight="1" thickBot="1">
      <c r="A61" s="39">
        <v>46</v>
      </c>
      <c r="B61" s="28" t="s">
        <v>78</v>
      </c>
      <c r="C61" s="29">
        <f t="shared" si="7"/>
        <v>1228793.22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2">
        <v>0</v>
      </c>
      <c r="K61" s="21">
        <v>0</v>
      </c>
      <c r="L61" s="29">
        <v>525</v>
      </c>
      <c r="M61" s="29">
        <v>1228793.22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50">
        <v>0</v>
      </c>
      <c r="X61" s="16"/>
    </row>
    <row r="62" spans="1:24" ht="18.75" hidden="1" customHeight="1" thickBot="1">
      <c r="A62" s="77" t="s">
        <v>7</v>
      </c>
      <c r="B62" s="78"/>
      <c r="C62" s="68">
        <f>SUM(C63:C151)</f>
        <v>471712918.94000006</v>
      </c>
      <c r="D62" s="68">
        <f t="shared" ref="D62:W62" si="8">SUM(D63:D151)</f>
        <v>36426107.364166662</v>
      </c>
      <c r="E62" s="68">
        <f t="shared" si="8"/>
        <v>8823485.2745833322</v>
      </c>
      <c r="F62" s="68">
        <f t="shared" si="8"/>
        <v>17088955.638749998</v>
      </c>
      <c r="G62" s="68">
        <f t="shared" si="8"/>
        <v>0</v>
      </c>
      <c r="H62" s="68">
        <f t="shared" si="8"/>
        <v>4324068.7545833336</v>
      </c>
      <c r="I62" s="68">
        <f t="shared" si="8"/>
        <v>2795160.0545833334</v>
      </c>
      <c r="J62" s="69">
        <f t="shared" si="8"/>
        <v>245</v>
      </c>
      <c r="K62" s="68">
        <f>SUM(K63:K151)</f>
        <v>351174130.62</v>
      </c>
      <c r="L62" s="68">
        <f t="shared" si="8"/>
        <v>17536.789999999997</v>
      </c>
      <c r="M62" s="68">
        <f t="shared" si="8"/>
        <v>41122793.142499998</v>
      </c>
      <c r="N62" s="68">
        <f t="shared" si="8"/>
        <v>3126.7</v>
      </c>
      <c r="O62" s="68">
        <f t="shared" si="8"/>
        <v>1703273.5966666664</v>
      </c>
      <c r="P62" s="68">
        <f t="shared" si="8"/>
        <v>10155.049999999999</v>
      </c>
      <c r="Q62" s="68">
        <f t="shared" si="8"/>
        <v>0</v>
      </c>
      <c r="R62" s="68">
        <f t="shared" si="8"/>
        <v>393.66999999999996</v>
      </c>
      <c r="S62" s="68">
        <f t="shared" si="8"/>
        <v>8373496.2941666674</v>
      </c>
      <c r="T62" s="68">
        <f t="shared" si="8"/>
        <v>34616391.519166663</v>
      </c>
      <c r="U62" s="68">
        <f t="shared" si="8"/>
        <v>0</v>
      </c>
      <c r="V62" s="68">
        <f t="shared" si="8"/>
        <v>1691164.0449999999</v>
      </c>
      <c r="W62" s="70">
        <f t="shared" si="8"/>
        <v>0</v>
      </c>
      <c r="X62" s="16"/>
    </row>
    <row r="63" spans="1:24" ht="18.75" hidden="1" customHeight="1">
      <c r="A63" s="45">
        <v>47</v>
      </c>
      <c r="B63" s="30" t="s">
        <v>199</v>
      </c>
      <c r="C63" s="27">
        <f t="shared" ref="C63:C126" si="9">M63+T63+D63+K63+Q63+S63+U63+V63+W63</f>
        <v>3869126.8600000003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9">
        <v>0</v>
      </c>
      <c r="K63" s="18">
        <v>0</v>
      </c>
      <c r="L63" s="18">
        <v>514.29999999999995</v>
      </c>
      <c r="M63" s="18">
        <f>78723.27/2+111746/2+1151773.66</f>
        <v>1247008.2949999999</v>
      </c>
      <c r="N63" s="18">
        <v>0</v>
      </c>
      <c r="O63" s="18">
        <v>0</v>
      </c>
      <c r="P63" s="18">
        <v>684</v>
      </c>
      <c r="Q63" s="18">
        <v>0</v>
      </c>
      <c r="R63" s="18">
        <v>0</v>
      </c>
      <c r="S63" s="18">
        <v>0</v>
      </c>
      <c r="T63" s="18">
        <f>78723.27/2+111746/2+2526883.93</f>
        <v>2622118.5650000004</v>
      </c>
      <c r="U63" s="18">
        <v>0</v>
      </c>
      <c r="V63" s="18">
        <v>0</v>
      </c>
      <c r="W63" s="49">
        <v>0</v>
      </c>
      <c r="X63" s="16"/>
    </row>
    <row r="64" spans="1:24" ht="18.75" hidden="1" customHeight="1">
      <c r="A64" s="44">
        <v>48</v>
      </c>
      <c r="B64" s="10" t="s">
        <v>198</v>
      </c>
      <c r="C64" s="3">
        <f t="shared" si="9"/>
        <v>641067.74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7">
        <v>0</v>
      </c>
      <c r="K64" s="4">
        <v>0</v>
      </c>
      <c r="L64" s="4">
        <v>286.82</v>
      </c>
      <c r="M64" s="4">
        <v>641067.74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53">
        <v>0</v>
      </c>
      <c r="X64" s="16"/>
    </row>
    <row r="65" spans="1:24" ht="18.75" hidden="1" customHeight="1">
      <c r="A65" s="44">
        <v>49</v>
      </c>
      <c r="B65" s="10" t="s">
        <v>197</v>
      </c>
      <c r="C65" s="3">
        <f t="shared" si="9"/>
        <v>620613.46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7">
        <v>0</v>
      </c>
      <c r="K65" s="4">
        <v>0</v>
      </c>
      <c r="L65" s="4">
        <v>285.3</v>
      </c>
      <c r="M65" s="4">
        <v>620613.46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53">
        <v>0</v>
      </c>
      <c r="X65" s="16"/>
    </row>
    <row r="66" spans="1:24" ht="18.75" hidden="1" customHeight="1">
      <c r="A66" s="44">
        <v>50</v>
      </c>
      <c r="B66" s="10" t="s">
        <v>196</v>
      </c>
      <c r="C66" s="3">
        <f t="shared" si="9"/>
        <v>660813.77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7">
        <v>0</v>
      </c>
      <c r="K66" s="4">
        <v>0</v>
      </c>
      <c r="L66" s="4">
        <v>295</v>
      </c>
      <c r="M66" s="4">
        <v>660813.77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53">
        <v>0</v>
      </c>
      <c r="X66" s="16"/>
    </row>
    <row r="67" spans="1:24" ht="18.75" hidden="1" customHeight="1">
      <c r="A67" s="44">
        <v>51</v>
      </c>
      <c r="B67" s="10" t="s">
        <v>166</v>
      </c>
      <c r="C67" s="3">
        <f>M67+T67+D67+K67+Q67+S67+U67</f>
        <v>4954797.2699999996</v>
      </c>
      <c r="D67" s="4">
        <f>E67+F67+G67+H67+I67+O67+V67</f>
        <v>3212201.835</v>
      </c>
      <c r="E67" s="4">
        <f>(101653.53/2+102979/2)/5+764040.46</f>
        <v>784503.71299999999</v>
      </c>
      <c r="F67" s="4">
        <f>(101653.53/2+102979/2)/5+1588260.4</f>
        <v>1608723.6529999999</v>
      </c>
      <c r="G67" s="4">
        <v>0</v>
      </c>
      <c r="H67" s="4">
        <f>(101653.53/2+102979/2)/5+230240.44</f>
        <v>250703.693</v>
      </c>
      <c r="I67" s="4">
        <f>(101653.53/2+102979/2)/5+258749.62</f>
        <v>279212.87300000002</v>
      </c>
      <c r="J67" s="7">
        <v>0</v>
      </c>
      <c r="K67" s="4">
        <v>0</v>
      </c>
      <c r="L67" s="4">
        <v>947.53</v>
      </c>
      <c r="M67" s="4">
        <f>101653.53/2+102979/2+1640279.17</f>
        <v>1742595.4349999998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f>(101653.53/2+102979/2)/5+235093.7+33500.95</f>
        <v>289057.90299999999</v>
      </c>
      <c r="W67" s="53">
        <v>0</v>
      </c>
      <c r="X67" s="16"/>
    </row>
    <row r="68" spans="1:24" ht="18.75" hidden="1" customHeight="1">
      <c r="A68" s="44">
        <v>52</v>
      </c>
      <c r="B68" s="10" t="s">
        <v>167</v>
      </c>
      <c r="C68" s="3">
        <f t="shared" si="9"/>
        <v>4538016.32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8">
        <v>2</v>
      </c>
      <c r="K68" s="3">
        <v>4538016.32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42">
        <v>0</v>
      </c>
      <c r="X68" s="16"/>
    </row>
    <row r="69" spans="1:24" ht="18.75" hidden="1" customHeight="1">
      <c r="A69" s="44">
        <v>53</v>
      </c>
      <c r="B69" s="10" t="s">
        <v>168</v>
      </c>
      <c r="C69" s="3">
        <f t="shared" si="9"/>
        <v>14980337.630000001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7">
        <v>9</v>
      </c>
      <c r="K69" s="3">
        <v>14980337.630000001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42">
        <v>0</v>
      </c>
      <c r="X69" s="16"/>
    </row>
    <row r="70" spans="1:24" ht="18.75" hidden="1" customHeight="1">
      <c r="A70" s="44">
        <v>54</v>
      </c>
      <c r="B70" s="10" t="s">
        <v>211</v>
      </c>
      <c r="C70" s="3">
        <f t="shared" si="9"/>
        <v>3389014.93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8">
        <v>3</v>
      </c>
      <c r="K70" s="3">
        <v>3389014.93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42">
        <v>0</v>
      </c>
      <c r="X70" s="16"/>
    </row>
    <row r="71" spans="1:24" ht="18.75" hidden="1" customHeight="1">
      <c r="A71" s="44">
        <v>55</v>
      </c>
      <c r="B71" s="10" t="s">
        <v>212</v>
      </c>
      <c r="C71" s="3">
        <f t="shared" si="9"/>
        <v>4491753.21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8">
        <v>4</v>
      </c>
      <c r="K71" s="3">
        <v>4491753.21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42">
        <v>0</v>
      </c>
      <c r="X71" s="16"/>
    </row>
    <row r="72" spans="1:24" ht="18.75" hidden="1" customHeight="1">
      <c r="A72" s="44">
        <v>56</v>
      </c>
      <c r="B72" s="10" t="s">
        <v>213</v>
      </c>
      <c r="C72" s="3">
        <f t="shared" si="9"/>
        <v>6786740.0599999996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8">
        <v>6</v>
      </c>
      <c r="K72" s="3">
        <v>6786740.0599999996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42">
        <v>0</v>
      </c>
      <c r="X72" s="16"/>
    </row>
    <row r="73" spans="1:24" ht="18.75" hidden="1" customHeight="1">
      <c r="A73" s="44">
        <v>57</v>
      </c>
      <c r="B73" s="10" t="s">
        <v>169</v>
      </c>
      <c r="C73" s="3">
        <f t="shared" si="9"/>
        <v>3009722.98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7">
        <v>0</v>
      </c>
      <c r="K73" s="4">
        <v>0</v>
      </c>
      <c r="L73" s="4">
        <v>1742.36</v>
      </c>
      <c r="M73" s="4">
        <v>3009722.98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53">
        <v>0</v>
      </c>
      <c r="X73" s="16"/>
    </row>
    <row r="74" spans="1:24" ht="18.75" hidden="1" customHeight="1">
      <c r="A74" s="44">
        <v>58</v>
      </c>
      <c r="B74" s="10" t="s">
        <v>170</v>
      </c>
      <c r="C74" s="3">
        <f t="shared" si="9"/>
        <v>6220164.0099999998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8">
        <v>4</v>
      </c>
      <c r="K74" s="3">
        <v>6220164.0099999998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42">
        <v>0</v>
      </c>
      <c r="X74" s="16"/>
    </row>
    <row r="75" spans="1:24" ht="18.75" hidden="1" customHeight="1">
      <c r="A75" s="44">
        <v>59</v>
      </c>
      <c r="B75" s="10" t="s">
        <v>214</v>
      </c>
      <c r="C75" s="3">
        <f t="shared" si="9"/>
        <v>5514898.7800000003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8">
        <v>5</v>
      </c>
      <c r="K75" s="3">
        <v>5514898.7800000003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42">
        <v>0</v>
      </c>
      <c r="X75" s="16"/>
    </row>
    <row r="76" spans="1:24" ht="18.75" hidden="1" customHeight="1">
      <c r="A76" s="44">
        <v>60</v>
      </c>
      <c r="B76" s="10" t="s">
        <v>215</v>
      </c>
      <c r="C76" s="3">
        <f t="shared" si="9"/>
        <v>6688886.04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8">
        <v>6</v>
      </c>
      <c r="K76" s="3">
        <v>6688886.04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42">
        <v>0</v>
      </c>
      <c r="X76" s="16"/>
    </row>
    <row r="77" spans="1:24" ht="18.75" hidden="1" customHeight="1">
      <c r="A77" s="44">
        <v>61</v>
      </c>
      <c r="B77" s="10" t="s">
        <v>171</v>
      </c>
      <c r="C77" s="3">
        <f t="shared" si="9"/>
        <v>3425838.87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8">
        <v>2</v>
      </c>
      <c r="K77" s="3">
        <v>3425838.87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42">
        <v>0</v>
      </c>
      <c r="X77" s="16"/>
    </row>
    <row r="78" spans="1:24" ht="18.75" hidden="1" customHeight="1">
      <c r="A78" s="44">
        <v>62</v>
      </c>
      <c r="B78" s="10" t="s">
        <v>216</v>
      </c>
      <c r="C78" s="3">
        <f t="shared" si="9"/>
        <v>8632320.2300000004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8">
        <v>5</v>
      </c>
      <c r="K78" s="3">
        <v>8632320.2300000004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42">
        <v>0</v>
      </c>
      <c r="X78" s="16"/>
    </row>
    <row r="79" spans="1:24" ht="18.75" hidden="1" customHeight="1">
      <c r="A79" s="44">
        <v>63</v>
      </c>
      <c r="B79" s="9" t="s">
        <v>172</v>
      </c>
      <c r="C79" s="3">
        <f t="shared" si="9"/>
        <v>9849703.5199999996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6</v>
      </c>
      <c r="K79" s="12">
        <v>9849703.5199999996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42">
        <v>0</v>
      </c>
      <c r="X79" s="16"/>
    </row>
    <row r="80" spans="1:24" ht="18.75" hidden="1" customHeight="1">
      <c r="A80" s="44">
        <v>64</v>
      </c>
      <c r="B80" s="10" t="s">
        <v>217</v>
      </c>
      <c r="C80" s="3">
        <f t="shared" si="9"/>
        <v>4422108.55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8">
        <v>4</v>
      </c>
      <c r="K80" s="3">
        <v>4422108.55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42">
        <v>0</v>
      </c>
      <c r="X80" s="16"/>
    </row>
    <row r="81" spans="1:24" ht="18.75" hidden="1" customHeight="1">
      <c r="A81" s="44">
        <v>65</v>
      </c>
      <c r="B81" s="10" t="s">
        <v>218</v>
      </c>
      <c r="C81" s="3">
        <f t="shared" si="9"/>
        <v>8572238.4199999999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8">
        <v>5</v>
      </c>
      <c r="K81" s="3">
        <v>8572238.4199999999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42">
        <v>0</v>
      </c>
      <c r="X81" s="16"/>
    </row>
    <row r="82" spans="1:24" ht="18.75" hidden="1" customHeight="1">
      <c r="A82" s="44">
        <v>66</v>
      </c>
      <c r="B82" s="10" t="s">
        <v>195</v>
      </c>
      <c r="C82" s="3">
        <f t="shared" si="9"/>
        <v>5092952.59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8">
        <v>3</v>
      </c>
      <c r="K82" s="3">
        <v>5092952.59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42">
        <v>0</v>
      </c>
      <c r="X82" s="16"/>
    </row>
    <row r="83" spans="1:24" ht="18.75" hidden="1" customHeight="1">
      <c r="A83" s="44">
        <v>67</v>
      </c>
      <c r="B83" s="9" t="s">
        <v>194</v>
      </c>
      <c r="C83" s="3">
        <f t="shared" si="9"/>
        <v>4454602.16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13">
        <v>3</v>
      </c>
      <c r="K83" s="12">
        <f>104328.74+4285295.42+64978</f>
        <v>4454602.16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42">
        <v>0</v>
      </c>
      <c r="X83" s="16"/>
    </row>
    <row r="84" spans="1:24" ht="18.75" hidden="1" customHeight="1">
      <c r="A84" s="44">
        <v>68</v>
      </c>
      <c r="B84" s="10" t="s">
        <v>192</v>
      </c>
      <c r="C84" s="3">
        <f t="shared" si="9"/>
        <v>7401399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7">
        <v>5</v>
      </c>
      <c r="K84" s="3">
        <v>7401399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42">
        <v>0</v>
      </c>
      <c r="X84" s="16"/>
    </row>
    <row r="85" spans="1:24" ht="18.75" hidden="1" customHeight="1">
      <c r="A85" s="44">
        <v>69</v>
      </c>
      <c r="B85" s="10" t="s">
        <v>193</v>
      </c>
      <c r="C85" s="3">
        <f t="shared" si="9"/>
        <v>8880602.5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8">
        <v>6</v>
      </c>
      <c r="K85" s="3">
        <f>204834.68+8529443.74+146324.08</f>
        <v>8880602.5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42">
        <v>0</v>
      </c>
      <c r="X85" s="16"/>
    </row>
    <row r="86" spans="1:24" ht="18.75" hidden="1" customHeight="1">
      <c r="A86" s="44">
        <v>70</v>
      </c>
      <c r="B86" s="10" t="s">
        <v>79</v>
      </c>
      <c r="C86" s="3">
        <f t="shared" si="9"/>
        <v>6012700.7800000003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7">
        <v>4</v>
      </c>
      <c r="K86" s="3">
        <v>6012700.7800000003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42">
        <v>0</v>
      </c>
      <c r="X86" s="16"/>
    </row>
    <row r="87" spans="1:24" ht="18.75" hidden="1" customHeight="1">
      <c r="A87" s="44">
        <v>71</v>
      </c>
      <c r="B87" s="10" t="s">
        <v>80</v>
      </c>
      <c r="C87" s="3">
        <f t="shared" si="9"/>
        <v>3002432.61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7">
        <v>2</v>
      </c>
      <c r="K87" s="3">
        <v>3002432.61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42">
        <v>0</v>
      </c>
      <c r="X87" s="16"/>
    </row>
    <row r="88" spans="1:24" ht="18.75" hidden="1" customHeight="1">
      <c r="A88" s="44">
        <v>72</v>
      </c>
      <c r="B88" s="10" t="s">
        <v>81</v>
      </c>
      <c r="C88" s="3">
        <f t="shared" si="9"/>
        <v>4335846.01</v>
      </c>
      <c r="D88" s="12">
        <f>E88+F88+G88+H88+I88+V88</f>
        <v>386357.48249999998</v>
      </c>
      <c r="E88" s="3">
        <f>(89218.5/4+77538.55/4)/3+201328.99</f>
        <v>215225.41083333333</v>
      </c>
      <c r="F88" s="12">
        <v>0</v>
      </c>
      <c r="G88" s="12">
        <v>0</v>
      </c>
      <c r="H88" s="3">
        <f>(89218.5/4+77538.55/4)/3+78771.29</f>
        <v>92667.710833333331</v>
      </c>
      <c r="I88" s="3">
        <f>(89218.5/4+77538.55/4)/3+64567.94</f>
        <v>78464.36083333334</v>
      </c>
      <c r="J88" s="7">
        <v>0</v>
      </c>
      <c r="K88" s="4">
        <v>0</v>
      </c>
      <c r="L88" s="3">
        <v>461.4</v>
      </c>
      <c r="M88" s="3">
        <f>89218.5/4+77538.55/4+1472886.41</f>
        <v>1514575.6724999999</v>
      </c>
      <c r="N88" s="3">
        <v>0</v>
      </c>
      <c r="O88" s="3">
        <v>0</v>
      </c>
      <c r="P88" s="3">
        <v>463.1</v>
      </c>
      <c r="Q88" s="3">
        <v>0</v>
      </c>
      <c r="R88" s="3">
        <v>41.65</v>
      </c>
      <c r="S88" s="3">
        <f>89218.5/4+77538.55/4+640313.44</f>
        <v>682002.7024999999</v>
      </c>
      <c r="T88" s="3">
        <f>89218.5/4+77538.55/4+1711220.89</f>
        <v>1752910.1524999999</v>
      </c>
      <c r="U88" s="4">
        <v>0</v>
      </c>
      <c r="V88" s="4">
        <v>0</v>
      </c>
      <c r="W88" s="53">
        <v>0</v>
      </c>
      <c r="X88" s="16"/>
    </row>
    <row r="89" spans="1:24" ht="18.75" hidden="1" customHeight="1">
      <c r="A89" s="44">
        <v>73</v>
      </c>
      <c r="B89" s="10" t="s">
        <v>82</v>
      </c>
      <c r="C89" s="3">
        <f>M89+T89+D89+K89+Q89+S89+U89</f>
        <v>1005159.58</v>
      </c>
      <c r="D89" s="4">
        <f>E89+F89+G89+H89+I89+O89+V89</f>
        <v>1005159.58</v>
      </c>
      <c r="E89" s="3">
        <f>18561.19/5+119253.15/5+302501.62</f>
        <v>330064.48800000001</v>
      </c>
      <c r="F89" s="3">
        <f>18561.19/5+119253.15/5+488824.39</f>
        <v>516387.25800000003</v>
      </c>
      <c r="G89" s="3">
        <v>0</v>
      </c>
      <c r="H89" s="3">
        <f>18561.19/5+119253.15/5+42525.75</f>
        <v>70088.618000000002</v>
      </c>
      <c r="I89" s="3">
        <f>18561.19/5+119253.15/5+11310.3</f>
        <v>38873.167999999998</v>
      </c>
      <c r="J89" s="7">
        <v>0</v>
      </c>
      <c r="K89" s="4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f>18561.19/5+119253.15/5+22183.18</f>
        <v>49746.047999999995</v>
      </c>
      <c r="W89" s="42">
        <v>0</v>
      </c>
      <c r="X89" s="16"/>
    </row>
    <row r="90" spans="1:24" ht="18.75" hidden="1" customHeight="1">
      <c r="A90" s="44">
        <v>74</v>
      </c>
      <c r="B90" s="10" t="s">
        <v>83</v>
      </c>
      <c r="C90" s="3">
        <f t="shared" si="9"/>
        <v>1730998.4999999998</v>
      </c>
      <c r="D90" s="4">
        <f>E90+F90+G90+H90+I90+O90+V90</f>
        <v>515224.97</v>
      </c>
      <c r="E90" s="3">
        <f>(34494.74/2+84600/2)/2+110079.19</f>
        <v>139852.875</v>
      </c>
      <c r="F90" s="3">
        <f>(34494.74/2+84600/2)/2+345598.41</f>
        <v>375372.09499999997</v>
      </c>
      <c r="G90" s="3">
        <v>0</v>
      </c>
      <c r="H90" s="3">
        <v>0</v>
      </c>
      <c r="I90" s="3">
        <v>0</v>
      </c>
      <c r="J90" s="7">
        <v>0</v>
      </c>
      <c r="K90" s="4">
        <v>0</v>
      </c>
      <c r="L90" s="3">
        <v>452.9</v>
      </c>
      <c r="M90" s="3">
        <f>34494.74/2+84600/2+1156226.16</f>
        <v>1215773.5299999998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53">
        <v>0</v>
      </c>
      <c r="X90" s="16"/>
    </row>
    <row r="91" spans="1:24" ht="18.75" hidden="1" customHeight="1">
      <c r="A91" s="44">
        <v>75</v>
      </c>
      <c r="B91" s="10" t="s">
        <v>219</v>
      </c>
      <c r="C91" s="3">
        <f t="shared" si="9"/>
        <v>12449663.970000001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8">
        <v>11</v>
      </c>
      <c r="K91" s="3">
        <v>12449663.970000001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42">
        <v>0</v>
      </c>
      <c r="X91" s="16"/>
    </row>
    <row r="92" spans="1:24" ht="18.75" hidden="1" customHeight="1">
      <c r="A92" s="44">
        <v>76</v>
      </c>
      <c r="B92" s="10" t="s">
        <v>220</v>
      </c>
      <c r="C92" s="3">
        <f t="shared" si="9"/>
        <v>5643467.5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8">
        <v>5</v>
      </c>
      <c r="K92" s="3">
        <v>5643467.5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42">
        <v>0</v>
      </c>
      <c r="X92" s="16"/>
    </row>
    <row r="93" spans="1:24" ht="18.75" hidden="1" customHeight="1">
      <c r="A93" s="44">
        <v>77</v>
      </c>
      <c r="B93" s="10" t="s">
        <v>221</v>
      </c>
      <c r="C93" s="3">
        <f t="shared" si="9"/>
        <v>1200422.9099999999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8">
        <v>1</v>
      </c>
      <c r="K93" s="3">
        <v>1200422.9099999999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42">
        <v>0</v>
      </c>
      <c r="X93" s="16"/>
    </row>
    <row r="94" spans="1:24" ht="18.75" hidden="1" customHeight="1">
      <c r="A94" s="44">
        <v>78</v>
      </c>
      <c r="B94" s="10" t="s">
        <v>84</v>
      </c>
      <c r="C94" s="3">
        <f t="shared" si="9"/>
        <v>1652793.24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7">
        <v>0</v>
      </c>
      <c r="K94" s="4">
        <v>0</v>
      </c>
      <c r="L94" s="3">
        <v>757.98</v>
      </c>
      <c r="M94" s="3">
        <v>1652793.24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53">
        <v>0</v>
      </c>
      <c r="X94" s="16"/>
    </row>
    <row r="95" spans="1:24" ht="18.75" hidden="1" customHeight="1">
      <c r="A95" s="44">
        <v>79</v>
      </c>
      <c r="B95" s="10" t="s">
        <v>222</v>
      </c>
      <c r="C95" s="3">
        <f t="shared" si="9"/>
        <v>3315012.25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8">
        <v>2</v>
      </c>
      <c r="K95" s="3">
        <v>3315012.25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42">
        <v>0</v>
      </c>
      <c r="X95" s="16"/>
    </row>
    <row r="96" spans="1:24" ht="18.75" hidden="1" customHeight="1">
      <c r="A96" s="44">
        <v>80</v>
      </c>
      <c r="B96" s="10" t="s">
        <v>191</v>
      </c>
      <c r="C96" s="3">
        <f>M96+T96+D96+K96+Q96+S96+U96</f>
        <v>5581705.2800000003</v>
      </c>
      <c r="D96" s="4">
        <f>E96+F96+G96+H96+I96+O96+V96</f>
        <v>1491127.085</v>
      </c>
      <c r="E96" s="3">
        <f>(113109.18/4+183120/4)/6+246417.95</f>
        <v>258760.83250000002</v>
      </c>
      <c r="F96" s="3">
        <f>(113109.18/4+183120/4)/6+468176.79</f>
        <v>480519.67249999999</v>
      </c>
      <c r="G96" s="3">
        <v>0</v>
      </c>
      <c r="H96" s="3">
        <f>(113109.18/4+183120/4)/6+62148.01</f>
        <v>74490.892500000002</v>
      </c>
      <c r="I96" s="3">
        <f>(113109.18/4+183120/4)/6+79118.57</f>
        <v>91461.452500000014</v>
      </c>
      <c r="J96" s="7">
        <v>0</v>
      </c>
      <c r="K96" s="4">
        <v>0</v>
      </c>
      <c r="L96" s="3">
        <v>587.20000000000005</v>
      </c>
      <c r="M96" s="3">
        <f>113109.18/4+183120/4+1820773.36</f>
        <v>1894830.655</v>
      </c>
      <c r="N96" s="3">
        <v>295.2</v>
      </c>
      <c r="O96" s="3">
        <f>(113109.18/4+183120/4)/6+328066.88</f>
        <v>340409.76250000001</v>
      </c>
      <c r="P96" s="3">
        <v>1070</v>
      </c>
      <c r="Q96" s="3">
        <v>0</v>
      </c>
      <c r="R96" s="4">
        <v>36.74</v>
      </c>
      <c r="S96" s="3">
        <f>113109.18/4+183120/4+806734.58</f>
        <v>880791.875</v>
      </c>
      <c r="T96" s="3">
        <f>113109.18/4+183120/4+1240898.37</f>
        <v>1314955.665</v>
      </c>
      <c r="U96" s="4">
        <v>0</v>
      </c>
      <c r="V96" s="3">
        <f>(113109.18/4+183120/4)/6+68638.76+164502.83</f>
        <v>245484.47249999997</v>
      </c>
      <c r="W96" s="53">
        <v>0</v>
      </c>
      <c r="X96" s="16"/>
    </row>
    <row r="97" spans="1:24" ht="18.75" hidden="1" customHeight="1">
      <c r="A97" s="44">
        <v>81</v>
      </c>
      <c r="B97" s="10" t="s">
        <v>85</v>
      </c>
      <c r="C97" s="3">
        <f t="shared" si="9"/>
        <v>4386181.09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8">
        <v>4</v>
      </c>
      <c r="K97" s="3">
        <v>4386181.09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42">
        <v>0</v>
      </c>
      <c r="X97" s="16"/>
    </row>
    <row r="98" spans="1:24" ht="18.75" hidden="1" customHeight="1">
      <c r="A98" s="44">
        <v>82</v>
      </c>
      <c r="B98" s="10" t="s">
        <v>86</v>
      </c>
      <c r="C98" s="3">
        <f t="shared" si="9"/>
        <v>12317440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8">
        <v>8</v>
      </c>
      <c r="K98" s="3">
        <v>12317440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42">
        <v>0</v>
      </c>
      <c r="X98" s="16"/>
    </row>
    <row r="99" spans="1:24" ht="18.75" hidden="1" customHeight="1">
      <c r="A99" s="44">
        <v>83</v>
      </c>
      <c r="B99" s="9" t="s">
        <v>87</v>
      </c>
      <c r="C99" s="3">
        <f t="shared" si="9"/>
        <v>9258834.6799999997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13">
        <v>6</v>
      </c>
      <c r="K99" s="12">
        <v>9258834.6799999997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42">
        <v>0</v>
      </c>
      <c r="X99" s="16"/>
    </row>
    <row r="100" spans="1:24" ht="18.75" hidden="1" customHeight="1">
      <c r="A100" s="44">
        <v>84</v>
      </c>
      <c r="B100" s="10" t="s">
        <v>223</v>
      </c>
      <c r="C100" s="3">
        <f t="shared" si="9"/>
        <v>5643536.8899999997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8">
        <v>5</v>
      </c>
      <c r="K100" s="3">
        <v>5643536.8899999997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42">
        <v>0</v>
      </c>
      <c r="X100" s="16"/>
    </row>
    <row r="101" spans="1:24" ht="18.75" hidden="1" customHeight="1">
      <c r="A101" s="44">
        <v>85</v>
      </c>
      <c r="B101" s="10" t="s">
        <v>88</v>
      </c>
      <c r="C101" s="3">
        <f t="shared" si="9"/>
        <v>19709227.449999999</v>
      </c>
      <c r="D101" s="4">
        <f>E101+F101+G101+H101+I101+O101+V101</f>
        <v>19709227.449999999</v>
      </c>
      <c r="E101" s="3">
        <f>389739.45/5+197603/5+4424049.36</f>
        <v>4541517.8500000006</v>
      </c>
      <c r="F101" s="3">
        <f>389739.45/5+197603/5+9937393.54</f>
        <v>10054862.029999999</v>
      </c>
      <c r="G101" s="3">
        <v>0</v>
      </c>
      <c r="H101" s="3">
        <f>389739.45/5+197603/5+477696.65+2267123.31</f>
        <v>2862288.45</v>
      </c>
      <c r="I101" s="3">
        <f>389739.45/5+197603/5+1535838.22</f>
        <v>1653306.71</v>
      </c>
      <c r="J101" s="7">
        <v>0</v>
      </c>
      <c r="K101" s="4">
        <v>0</v>
      </c>
      <c r="L101" s="3">
        <v>0</v>
      </c>
      <c r="M101" s="3">
        <v>0</v>
      </c>
      <c r="N101" s="3">
        <v>2053</v>
      </c>
      <c r="O101" s="3">
        <f>389739.45/5+197603/5+479783.92</f>
        <v>597252.40999999992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42">
        <v>0</v>
      </c>
      <c r="X101" s="16"/>
    </row>
    <row r="102" spans="1:24" ht="18.75" hidden="1" customHeight="1">
      <c r="A102" s="44">
        <v>86</v>
      </c>
      <c r="B102" s="10" t="s">
        <v>224</v>
      </c>
      <c r="C102" s="3">
        <f t="shared" si="9"/>
        <v>4516144.16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8">
        <v>4</v>
      </c>
      <c r="K102" s="3">
        <v>4516144.16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42">
        <v>0</v>
      </c>
      <c r="X102" s="16"/>
    </row>
    <row r="103" spans="1:24" ht="18.75" hidden="1" customHeight="1">
      <c r="A103" s="44">
        <v>87</v>
      </c>
      <c r="B103" s="10" t="s">
        <v>225</v>
      </c>
      <c r="C103" s="3">
        <f t="shared" si="9"/>
        <v>4593341.1900000004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8">
        <v>4</v>
      </c>
      <c r="K103" s="3">
        <v>4593341.1900000004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42">
        <v>0</v>
      </c>
      <c r="X103" s="16"/>
    </row>
    <row r="104" spans="1:24" ht="18.75" hidden="1" customHeight="1">
      <c r="A104" s="44">
        <v>88</v>
      </c>
      <c r="B104" s="10" t="s">
        <v>226</v>
      </c>
      <c r="C104" s="3">
        <f t="shared" si="9"/>
        <v>3376892.56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8">
        <v>3</v>
      </c>
      <c r="K104" s="3">
        <v>3376892.56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42">
        <v>0</v>
      </c>
      <c r="X104" s="16"/>
    </row>
    <row r="105" spans="1:24" ht="18.75" hidden="1" customHeight="1">
      <c r="A105" s="44">
        <v>89</v>
      </c>
      <c r="B105" s="9" t="s">
        <v>89</v>
      </c>
      <c r="C105" s="3">
        <f t="shared" si="9"/>
        <v>5122486.08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13">
        <v>3</v>
      </c>
      <c r="K105" s="12">
        <v>5122486.08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42">
        <v>0</v>
      </c>
      <c r="X105" s="16"/>
    </row>
    <row r="106" spans="1:24" ht="18.75" hidden="1" customHeight="1">
      <c r="A106" s="44">
        <v>90</v>
      </c>
      <c r="B106" s="9" t="s">
        <v>90</v>
      </c>
      <c r="C106" s="3">
        <f t="shared" si="9"/>
        <v>4550436.99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13">
        <v>3</v>
      </c>
      <c r="K106" s="12">
        <v>4550436.99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42">
        <v>0</v>
      </c>
      <c r="X106" s="16"/>
    </row>
    <row r="107" spans="1:24" ht="18.75" hidden="1" customHeight="1">
      <c r="A107" s="44">
        <v>91</v>
      </c>
      <c r="B107" s="9" t="s">
        <v>91</v>
      </c>
      <c r="C107" s="3">
        <f t="shared" si="9"/>
        <v>8845333.5399999991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13">
        <v>6</v>
      </c>
      <c r="K107" s="12">
        <v>8845333.5399999991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42">
        <v>0</v>
      </c>
      <c r="X107" s="16"/>
    </row>
    <row r="108" spans="1:24" ht="18.75" hidden="1" customHeight="1">
      <c r="A108" s="44">
        <v>92</v>
      </c>
      <c r="B108" s="10" t="s">
        <v>92</v>
      </c>
      <c r="C108" s="3">
        <f t="shared" si="9"/>
        <v>3982745.94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7">
        <v>0</v>
      </c>
      <c r="K108" s="4">
        <v>0</v>
      </c>
      <c r="L108" s="3">
        <v>0</v>
      </c>
      <c r="M108" s="3">
        <v>0</v>
      </c>
      <c r="N108" s="3">
        <v>0</v>
      </c>
      <c r="O108" s="3">
        <v>0</v>
      </c>
      <c r="P108" s="3">
        <v>925.29</v>
      </c>
      <c r="Q108" s="3">
        <v>0</v>
      </c>
      <c r="R108" s="3">
        <v>10.49</v>
      </c>
      <c r="S108" s="3">
        <f>80984.73/2+117428/2+162617.95</f>
        <v>261824.315</v>
      </c>
      <c r="T108" s="3">
        <f>80984.73/2+117428/2+3621715.26</f>
        <v>3720921.625</v>
      </c>
      <c r="U108" s="4">
        <v>0</v>
      </c>
      <c r="V108" s="4">
        <v>0</v>
      </c>
      <c r="W108" s="53">
        <v>0</v>
      </c>
      <c r="X108" s="16"/>
    </row>
    <row r="109" spans="1:24" ht="18.75" hidden="1" customHeight="1">
      <c r="A109" s="44">
        <v>93</v>
      </c>
      <c r="B109" s="10" t="s">
        <v>93</v>
      </c>
      <c r="C109" s="3">
        <f t="shared" si="9"/>
        <v>6356809.3900000006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7">
        <v>0</v>
      </c>
      <c r="K109" s="4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1425.36</v>
      </c>
      <c r="Q109" s="3">
        <v>0</v>
      </c>
      <c r="R109" s="3">
        <v>36.49</v>
      </c>
      <c r="S109" s="3">
        <f>131507.6/2+80086.9/2+575876.28</f>
        <v>681673.53</v>
      </c>
      <c r="T109" s="3">
        <f>131507.6/2+80086.9/2+5569338.61</f>
        <v>5675135.8600000003</v>
      </c>
      <c r="U109" s="4">
        <v>0</v>
      </c>
      <c r="V109" s="4">
        <v>0</v>
      </c>
      <c r="W109" s="53">
        <v>0</v>
      </c>
      <c r="X109" s="16"/>
    </row>
    <row r="110" spans="1:24" ht="18.75" hidden="1" customHeight="1">
      <c r="A110" s="44">
        <v>94</v>
      </c>
      <c r="B110" s="9" t="s">
        <v>189</v>
      </c>
      <c r="C110" s="3">
        <f t="shared" si="9"/>
        <v>10185622.5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13">
        <v>6</v>
      </c>
      <c r="K110" s="12">
        <v>10185622.5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42">
        <v>0</v>
      </c>
      <c r="X110" s="16"/>
    </row>
    <row r="111" spans="1:24" ht="18.75" hidden="1" customHeight="1">
      <c r="A111" s="44">
        <v>95</v>
      </c>
      <c r="B111" s="9" t="s">
        <v>190</v>
      </c>
      <c r="C111" s="3">
        <f t="shared" si="9"/>
        <v>6428048.6600000001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13">
        <v>4</v>
      </c>
      <c r="K111" s="12">
        <v>6428048.6600000001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42">
        <v>0</v>
      </c>
      <c r="X111" s="16"/>
    </row>
    <row r="112" spans="1:24" ht="18.75" hidden="1" customHeight="1">
      <c r="A112" s="44">
        <v>96</v>
      </c>
      <c r="B112" s="9" t="s">
        <v>94</v>
      </c>
      <c r="C112" s="3">
        <f t="shared" si="9"/>
        <v>4710002.5999999996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13">
        <v>3</v>
      </c>
      <c r="K112" s="12">
        <v>4710002.5999999996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42">
        <v>0</v>
      </c>
      <c r="X112" s="16"/>
    </row>
    <row r="113" spans="1:24" ht="18.75" hidden="1" customHeight="1">
      <c r="A113" s="44">
        <v>97</v>
      </c>
      <c r="B113" s="10" t="s">
        <v>95</v>
      </c>
      <c r="C113" s="3">
        <f>M113+T113+D113+K113+Q113+S113+U113</f>
        <v>3474034.33</v>
      </c>
      <c r="D113" s="4">
        <f>E113+F113+G113+H113+I113+O113+V113</f>
        <v>1678600.075</v>
      </c>
      <c r="E113" s="3">
        <f>(69928.37/2+136425/2)/6+469798.77</f>
        <v>486994.88416666666</v>
      </c>
      <c r="F113" s="3">
        <f>(69928.37/2+136425/2)/6+451430.32</f>
        <v>468626.4341666667</v>
      </c>
      <c r="G113" s="3">
        <v>0</v>
      </c>
      <c r="H113" s="3">
        <f>(69928.37/2+136425/2)/6+45099.21+135703.02</f>
        <v>197998.34416666665</v>
      </c>
      <c r="I113" s="3">
        <f>(69928.37/2+136425/2)/6+110740.33</f>
        <v>127936.44416666667</v>
      </c>
      <c r="J113" s="7">
        <v>0</v>
      </c>
      <c r="K113" s="4">
        <v>0</v>
      </c>
      <c r="L113" s="3">
        <v>941.7</v>
      </c>
      <c r="M113" s="3">
        <f>69928.37/2+136425/2+1692257.57</f>
        <v>1795434.2550000001</v>
      </c>
      <c r="N113" s="4">
        <v>328.5</v>
      </c>
      <c r="O113" s="3">
        <f>(69928.37/2+136425/2)/6+97029.65</f>
        <v>114225.76416666666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3">
        <f>(69928.37/2+136425/2)/6+14036.07+60384.69+191201.33</f>
        <v>282818.20416666666</v>
      </c>
      <c r="W113" s="53">
        <v>0</v>
      </c>
      <c r="X113" s="16"/>
    </row>
    <row r="114" spans="1:24" ht="18.75" hidden="1" customHeight="1">
      <c r="A114" s="44">
        <v>98</v>
      </c>
      <c r="B114" s="10" t="s">
        <v>43</v>
      </c>
      <c r="C114" s="3">
        <f t="shared" si="9"/>
        <v>1395238.29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7">
        <v>0</v>
      </c>
      <c r="K114" s="4">
        <v>0</v>
      </c>
      <c r="L114" s="3">
        <v>408.5</v>
      </c>
      <c r="M114" s="3">
        <v>1395238.29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53">
        <v>0</v>
      </c>
      <c r="X114" s="16"/>
    </row>
    <row r="115" spans="1:24" ht="18.75" hidden="1" customHeight="1">
      <c r="A115" s="44">
        <v>99</v>
      </c>
      <c r="B115" s="10" t="s">
        <v>227</v>
      </c>
      <c r="C115" s="3">
        <f t="shared" si="9"/>
        <v>9023856.7799999993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8">
        <v>8</v>
      </c>
      <c r="K115" s="3">
        <v>9023856.7799999993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42">
        <v>0</v>
      </c>
      <c r="X115" s="16"/>
    </row>
    <row r="116" spans="1:24" ht="18.75" hidden="1" customHeight="1">
      <c r="A116" s="44">
        <v>100</v>
      </c>
      <c r="B116" s="10" t="s">
        <v>228</v>
      </c>
      <c r="C116" s="3">
        <f t="shared" si="9"/>
        <v>3448767.95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8">
        <v>2</v>
      </c>
      <c r="K116" s="3">
        <v>3448767.95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42">
        <v>0</v>
      </c>
      <c r="X116" s="16"/>
    </row>
    <row r="117" spans="1:24" ht="18.75" hidden="1" customHeight="1">
      <c r="A117" s="44">
        <v>101</v>
      </c>
      <c r="B117" s="10" t="s">
        <v>96</v>
      </c>
      <c r="C117" s="3">
        <f t="shared" si="9"/>
        <v>1514692.36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7">
        <v>1</v>
      </c>
      <c r="K117" s="3">
        <v>1514692.36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42">
        <v>0</v>
      </c>
      <c r="X117" s="16"/>
    </row>
    <row r="118" spans="1:24" ht="18.75" hidden="1" customHeight="1">
      <c r="A118" s="44">
        <v>102</v>
      </c>
      <c r="B118" s="9" t="s">
        <v>97</v>
      </c>
      <c r="C118" s="3">
        <f t="shared" si="9"/>
        <v>3096729.38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13">
        <v>2</v>
      </c>
      <c r="K118" s="12">
        <v>3096729.38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42">
        <v>0</v>
      </c>
      <c r="X118" s="16"/>
    </row>
    <row r="119" spans="1:24" ht="18.75" hidden="1" customHeight="1">
      <c r="A119" s="44">
        <v>103</v>
      </c>
      <c r="B119" s="9" t="s">
        <v>98</v>
      </c>
      <c r="C119" s="3">
        <f t="shared" si="9"/>
        <v>9270567.4700000007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13">
        <v>6</v>
      </c>
      <c r="K119" s="12">
        <v>9270567.4700000007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42">
        <v>0</v>
      </c>
      <c r="X119" s="16"/>
    </row>
    <row r="120" spans="1:24" ht="18.75" hidden="1" customHeight="1">
      <c r="A120" s="44">
        <v>104</v>
      </c>
      <c r="B120" s="10" t="s">
        <v>229</v>
      </c>
      <c r="C120" s="3">
        <f t="shared" si="9"/>
        <v>7936260.8799999999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8">
        <v>7</v>
      </c>
      <c r="K120" s="3">
        <v>7936260.8799999999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42">
        <v>0</v>
      </c>
      <c r="X120" s="16"/>
    </row>
    <row r="121" spans="1:24" ht="18.75" hidden="1" customHeight="1">
      <c r="A121" s="44">
        <v>105</v>
      </c>
      <c r="B121" s="9" t="s">
        <v>99</v>
      </c>
      <c r="C121" s="3">
        <f t="shared" si="9"/>
        <v>7587441.6900000004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13">
        <v>5</v>
      </c>
      <c r="K121" s="12">
        <v>7587441.6900000004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42">
        <v>0</v>
      </c>
      <c r="X121" s="16"/>
    </row>
    <row r="122" spans="1:24" ht="18.75" hidden="1" customHeight="1">
      <c r="A122" s="44">
        <v>106</v>
      </c>
      <c r="B122" s="9" t="s">
        <v>100</v>
      </c>
      <c r="C122" s="3">
        <f t="shared" si="9"/>
        <v>8997547.75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13">
        <v>5</v>
      </c>
      <c r="K122" s="12">
        <v>8997547.75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42">
        <v>0</v>
      </c>
      <c r="X122" s="16"/>
    </row>
    <row r="123" spans="1:24" ht="18.75" hidden="1" customHeight="1">
      <c r="A123" s="44">
        <v>107</v>
      </c>
      <c r="B123" s="9" t="s">
        <v>101</v>
      </c>
      <c r="C123" s="3">
        <f t="shared" si="9"/>
        <v>13403764.33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13">
        <v>8</v>
      </c>
      <c r="K123" s="12">
        <v>13403764.33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42">
        <v>0</v>
      </c>
      <c r="X123" s="16"/>
    </row>
    <row r="124" spans="1:24" ht="18.75" hidden="1" customHeight="1">
      <c r="A124" s="44">
        <v>108</v>
      </c>
      <c r="B124" s="10" t="s">
        <v>102</v>
      </c>
      <c r="C124" s="3">
        <f t="shared" si="9"/>
        <v>628779.1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7">
        <v>0</v>
      </c>
      <c r="K124" s="4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16.48</v>
      </c>
      <c r="S124" s="3">
        <v>628779.1</v>
      </c>
      <c r="T124" s="5">
        <v>0</v>
      </c>
      <c r="U124" s="4">
        <v>0</v>
      </c>
      <c r="V124" s="4">
        <v>0</v>
      </c>
      <c r="W124" s="53">
        <v>0</v>
      </c>
      <c r="X124" s="16"/>
    </row>
    <row r="125" spans="1:24" ht="18.75" hidden="1" customHeight="1">
      <c r="A125" s="44">
        <v>109</v>
      </c>
      <c r="B125" s="10" t="s">
        <v>103</v>
      </c>
      <c r="C125" s="3">
        <f>M125+T125+D125+K125+Q125+S125+U125</f>
        <v>3241142.15</v>
      </c>
      <c r="D125" s="4">
        <f>E125+F125+G125+H125+I125+O125+V125</f>
        <v>1063821.81</v>
      </c>
      <c r="E125" s="3">
        <f>(64897/2+143675/2)/5+185966.48</f>
        <v>206823.68000000002</v>
      </c>
      <c r="F125" s="3">
        <f>(64897/2+143675/2)/5+491580.54</f>
        <v>512437.74</v>
      </c>
      <c r="G125" s="3">
        <v>0</v>
      </c>
      <c r="H125" s="3">
        <f>(64897/2+143675/2)/5+49075.74</f>
        <v>69932.94</v>
      </c>
      <c r="I125" s="3">
        <f>(64897/2+143675/2)/5+59674.56</f>
        <v>80531.759999999995</v>
      </c>
      <c r="J125" s="7">
        <v>0</v>
      </c>
      <c r="K125" s="4">
        <v>0</v>
      </c>
      <c r="L125" s="3">
        <v>732.9</v>
      </c>
      <c r="M125" s="3">
        <f>64897/2+143675/2+2073034.34</f>
        <v>2177320.34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3">
        <f>(64897/2+143675/2)/5+173238.49</f>
        <v>194095.69</v>
      </c>
      <c r="W125" s="53">
        <v>0</v>
      </c>
      <c r="X125" s="16"/>
    </row>
    <row r="126" spans="1:24" ht="18.75" hidden="1" customHeight="1">
      <c r="A126" s="44">
        <v>110</v>
      </c>
      <c r="B126" s="10" t="s">
        <v>104</v>
      </c>
      <c r="C126" s="3">
        <f t="shared" si="9"/>
        <v>6488683.1699999999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7">
        <v>0</v>
      </c>
      <c r="K126" s="4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1289.8</v>
      </c>
      <c r="Q126" s="3">
        <v>0</v>
      </c>
      <c r="R126" s="3">
        <v>110.66</v>
      </c>
      <c r="S126" s="3">
        <f>124677.49/2+165405/2+1638771.48</f>
        <v>1783812.7250000001</v>
      </c>
      <c r="T126" s="3">
        <f>124677.49/2+165405/2+4559829.2</f>
        <v>4704870.4450000003</v>
      </c>
      <c r="U126" s="4">
        <v>0</v>
      </c>
      <c r="V126" s="4">
        <v>0</v>
      </c>
      <c r="W126" s="53">
        <v>0</v>
      </c>
      <c r="X126" s="16"/>
    </row>
    <row r="127" spans="1:24" ht="18.75" hidden="1" customHeight="1">
      <c r="A127" s="44">
        <v>111</v>
      </c>
      <c r="B127" s="9" t="s">
        <v>105</v>
      </c>
      <c r="C127" s="3">
        <f t="shared" ref="C127:C151" si="10">M127+T127+D127+K127+Q127+S127+U127+V127+W127</f>
        <v>6437933.9500000002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13">
        <v>4</v>
      </c>
      <c r="K127" s="12">
        <v>6437933.9500000002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42">
        <v>0</v>
      </c>
      <c r="X127" s="16"/>
    </row>
    <row r="128" spans="1:24" ht="18.75" hidden="1" customHeight="1">
      <c r="A128" s="44">
        <v>112</v>
      </c>
      <c r="B128" s="10" t="s">
        <v>230</v>
      </c>
      <c r="C128" s="3">
        <f t="shared" si="10"/>
        <v>6872812.54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8">
        <v>4</v>
      </c>
      <c r="K128" s="3">
        <v>6872812.54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42">
        <v>0</v>
      </c>
      <c r="X128" s="16"/>
    </row>
    <row r="129" spans="1:24" ht="18.75" hidden="1" customHeight="1">
      <c r="A129" s="44">
        <v>113</v>
      </c>
      <c r="B129" s="10" t="s">
        <v>231</v>
      </c>
      <c r="C129" s="3">
        <f t="shared" si="10"/>
        <v>3397747.12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8">
        <v>3</v>
      </c>
      <c r="K129" s="3">
        <v>3397747.12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42">
        <v>0</v>
      </c>
      <c r="X129" s="16"/>
    </row>
    <row r="130" spans="1:24" ht="18.75" hidden="1" customHeight="1">
      <c r="A130" s="44">
        <v>114</v>
      </c>
      <c r="B130" s="10" t="s">
        <v>232</v>
      </c>
      <c r="C130" s="3">
        <f t="shared" si="10"/>
        <v>4491837.08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8">
        <v>4</v>
      </c>
      <c r="K130" s="3">
        <v>4491837.08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42">
        <v>0</v>
      </c>
      <c r="X130" s="16"/>
    </row>
    <row r="131" spans="1:24" ht="18.75" hidden="1" customHeight="1">
      <c r="A131" s="44">
        <v>115</v>
      </c>
      <c r="B131" s="10" t="s">
        <v>188</v>
      </c>
      <c r="C131" s="3">
        <f t="shared" si="10"/>
        <v>3091886.77</v>
      </c>
      <c r="D131" s="4">
        <f>E131+F131+G131+H131+I131+O131+V131</f>
        <v>584643.01500000001</v>
      </c>
      <c r="E131" s="3">
        <f>(61229.83/2+169450/2)/4+177462.51</f>
        <v>206297.48875000002</v>
      </c>
      <c r="F131" s="3">
        <f>(61229.83/2+169450/2)/4+194103.61</f>
        <v>222938.58875</v>
      </c>
      <c r="G131" s="3">
        <v>0</v>
      </c>
      <c r="H131" s="3">
        <f>(61229.83/2+169450/2)/4+30379.57</f>
        <v>59214.548750000002</v>
      </c>
      <c r="I131" s="3">
        <f>(61229.83/2+169450/2)/4+67357.41</f>
        <v>96192.388750000013</v>
      </c>
      <c r="J131" s="7">
        <v>0</v>
      </c>
      <c r="K131" s="4">
        <v>0</v>
      </c>
      <c r="L131" s="3">
        <v>728</v>
      </c>
      <c r="M131" s="3">
        <f>61229.83/2+169450/2+2391903.84</f>
        <v>2507243.7549999999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53">
        <v>0</v>
      </c>
      <c r="X131" s="16"/>
    </row>
    <row r="132" spans="1:24" ht="18.75" hidden="1" customHeight="1">
      <c r="A132" s="44">
        <v>116</v>
      </c>
      <c r="B132" s="10" t="s">
        <v>106</v>
      </c>
      <c r="C132" s="3">
        <f t="shared" si="10"/>
        <v>2943260.25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7">
        <v>2</v>
      </c>
      <c r="K132" s="3">
        <v>2943260.25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42">
        <v>0</v>
      </c>
      <c r="X132" s="16"/>
    </row>
    <row r="133" spans="1:24" ht="18.75" hidden="1" customHeight="1">
      <c r="A133" s="44">
        <v>117</v>
      </c>
      <c r="B133" s="10" t="s">
        <v>107</v>
      </c>
      <c r="C133" s="3">
        <f t="shared" si="10"/>
        <v>2507076.3199999998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7">
        <v>0</v>
      </c>
      <c r="K133" s="4">
        <v>0</v>
      </c>
      <c r="L133" s="4">
        <v>1372.6</v>
      </c>
      <c r="M133" s="4">
        <v>2507076.3199999998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53">
        <v>0</v>
      </c>
      <c r="X133" s="16"/>
    </row>
    <row r="134" spans="1:24" ht="18.75" hidden="1" customHeight="1">
      <c r="A134" s="44">
        <v>118</v>
      </c>
      <c r="B134" s="10" t="s">
        <v>108</v>
      </c>
      <c r="C134" s="3">
        <f t="shared" si="10"/>
        <v>2937059.76</v>
      </c>
      <c r="D134" s="4">
        <f>E134+F134+G134+H134+I134+O134+V134</f>
        <v>835901.28999999992</v>
      </c>
      <c r="E134" s="3">
        <f>(59309.04/2+106300/2)/4+204164.58</f>
        <v>224865.71</v>
      </c>
      <c r="F134" s="3">
        <f>(59309.04/2+106300/2)/4+452175.27</f>
        <v>472876.4</v>
      </c>
      <c r="G134" s="3">
        <v>0</v>
      </c>
      <c r="H134" s="3">
        <f>(59309.04/2+106300/2)/4+32933.86+27583.57</f>
        <v>81218.559999999998</v>
      </c>
      <c r="I134" s="3">
        <f>(59309.04/2+106300/2)/4+36239.49</f>
        <v>56940.619999999995</v>
      </c>
      <c r="J134" s="7">
        <v>0</v>
      </c>
      <c r="K134" s="4">
        <v>0</v>
      </c>
      <c r="L134" s="3">
        <v>750</v>
      </c>
      <c r="M134" s="3">
        <f>59309.04/2+106300/2+2018353.95</f>
        <v>2101158.4699999997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53">
        <v>0</v>
      </c>
      <c r="X134" s="16"/>
    </row>
    <row r="135" spans="1:24" ht="18.75" hidden="1" customHeight="1">
      <c r="A135" s="44">
        <v>119</v>
      </c>
      <c r="B135" s="10" t="s">
        <v>109</v>
      </c>
      <c r="C135" s="3">
        <f t="shared" si="10"/>
        <v>1235049.68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7">
        <v>0</v>
      </c>
      <c r="K135" s="4">
        <v>0</v>
      </c>
      <c r="L135" s="3">
        <v>421.2</v>
      </c>
      <c r="M135" s="3">
        <v>1235049.68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53">
        <v>0</v>
      </c>
      <c r="X135" s="16"/>
    </row>
    <row r="136" spans="1:24" ht="18.75" hidden="1" customHeight="1">
      <c r="A136" s="44">
        <v>120</v>
      </c>
      <c r="B136" s="10" t="s">
        <v>110</v>
      </c>
      <c r="C136" s="3">
        <f>M136+T136+D136+K136+Q136+S136+U136</f>
        <v>1638798.47</v>
      </c>
      <c r="D136" s="4">
        <f>E136+F136+G136+H136+I136+O136+V136</f>
        <v>455697.18999999994</v>
      </c>
      <c r="E136" s="3">
        <f>(31641.44/2+128585/2)/5+176464.82</f>
        <v>192487.46400000001</v>
      </c>
      <c r="F136" s="3">
        <f>(31641.44/2+128585/2)/5+141594.08</f>
        <v>157616.72399999999</v>
      </c>
      <c r="G136" s="3">
        <v>0</v>
      </c>
      <c r="H136" s="3">
        <f>(31641.44/2+128585/2)/5+27455.39</f>
        <v>43478.034</v>
      </c>
      <c r="I136" s="3">
        <f>(31641.44/2+128585/2)/5+2112.43</f>
        <v>18135.074000000001</v>
      </c>
      <c r="J136" s="7">
        <v>0</v>
      </c>
      <c r="K136" s="4">
        <v>0</v>
      </c>
      <c r="L136" s="3">
        <v>429</v>
      </c>
      <c r="M136" s="3">
        <f>31641.44/2+128585/2+1102988.06</f>
        <v>1183101.28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3">
        <f>(31641.44/2+128585/2)/5+27957.25</f>
        <v>43979.894</v>
      </c>
      <c r="W136" s="53">
        <v>0</v>
      </c>
      <c r="X136" s="16"/>
    </row>
    <row r="137" spans="1:24" ht="18.75" hidden="1" customHeight="1">
      <c r="A137" s="44">
        <v>121</v>
      </c>
      <c r="B137" s="10" t="s">
        <v>111</v>
      </c>
      <c r="C137" s="3">
        <f t="shared" si="10"/>
        <v>3508815.59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7">
        <v>0</v>
      </c>
      <c r="K137" s="4">
        <v>0</v>
      </c>
      <c r="L137" s="3">
        <v>1090</v>
      </c>
      <c r="M137" s="3">
        <v>3508815.59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53">
        <v>0</v>
      </c>
      <c r="X137" s="16"/>
    </row>
    <row r="138" spans="1:24" ht="18.75" hidden="1" customHeight="1">
      <c r="A138" s="44">
        <v>122</v>
      </c>
      <c r="B138" s="10" t="s">
        <v>112</v>
      </c>
      <c r="C138" s="3">
        <f t="shared" si="10"/>
        <v>1370234.35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7">
        <v>0</v>
      </c>
      <c r="K138" s="4">
        <v>0</v>
      </c>
      <c r="L138" s="3">
        <v>589.29999999999995</v>
      </c>
      <c r="M138" s="3">
        <v>1370234.35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53">
        <v>0</v>
      </c>
      <c r="X138" s="16"/>
    </row>
    <row r="139" spans="1:24" ht="18.75" hidden="1" customHeight="1">
      <c r="A139" s="44">
        <v>123</v>
      </c>
      <c r="B139" s="10" t="s">
        <v>113</v>
      </c>
      <c r="C139" s="3">
        <f>M139+T139+D139+K139+Q139+S139+U139</f>
        <v>4191045.29</v>
      </c>
      <c r="D139" s="4">
        <f>E139+F139+G139+H139+I139+O139+V139</f>
        <v>2866201.6100000003</v>
      </c>
      <c r="E139" s="3">
        <f>(85787.52/2+96495/2)/6+469285.25</f>
        <v>484475.46</v>
      </c>
      <c r="F139" s="3">
        <f>(85787.52/2+96495/2)/6+822003.67</f>
        <v>837193.88</v>
      </c>
      <c r="G139" s="3"/>
      <c r="H139" s="3">
        <f>(85787.52/2+96495/2)/6+201266.98+180458.55</f>
        <v>396915.74</v>
      </c>
      <c r="I139" s="3">
        <f>(85787.52/2+96495/2)/6+206488.62</f>
        <v>221678.83</v>
      </c>
      <c r="J139" s="7">
        <v>0</v>
      </c>
      <c r="K139" s="4">
        <v>0</v>
      </c>
      <c r="L139" s="3">
        <v>586.29999999999995</v>
      </c>
      <c r="M139" s="3">
        <f>85787.52/2+96495/2+1233702.42</f>
        <v>1324843.68</v>
      </c>
      <c r="N139" s="4">
        <v>450</v>
      </c>
      <c r="O139" s="3">
        <f>(85787.52/2+96495/2)/6+636195.45</f>
        <v>651385.65999999992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3">
        <f>(85787.52/2+96495/2)/6+32267.27+87570.19+139524.37</f>
        <v>274552.04000000004</v>
      </c>
      <c r="W139" s="53">
        <v>0</v>
      </c>
      <c r="X139" s="16"/>
    </row>
    <row r="140" spans="1:24" ht="18.75" hidden="1" customHeight="1">
      <c r="A140" s="44">
        <v>124</v>
      </c>
      <c r="B140" s="10" t="s">
        <v>114</v>
      </c>
      <c r="C140" s="3">
        <f t="shared" si="10"/>
        <v>3743329.1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7">
        <v>0</v>
      </c>
      <c r="K140" s="4">
        <v>0</v>
      </c>
      <c r="L140" s="3">
        <v>2222</v>
      </c>
      <c r="M140" s="3">
        <v>3743329.1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53">
        <v>0</v>
      </c>
      <c r="X140" s="16"/>
    </row>
    <row r="141" spans="1:24" ht="18.75" hidden="1" customHeight="1">
      <c r="A141" s="44">
        <v>125</v>
      </c>
      <c r="B141" s="9" t="s">
        <v>115</v>
      </c>
      <c r="C141" s="3">
        <f t="shared" si="10"/>
        <v>8863275.0999999996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13">
        <v>6</v>
      </c>
      <c r="K141" s="12">
        <v>8863275.0999999996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42">
        <v>0</v>
      </c>
      <c r="X141" s="16"/>
    </row>
    <row r="142" spans="1:24" ht="18.75" hidden="1" customHeight="1">
      <c r="A142" s="44">
        <v>126</v>
      </c>
      <c r="B142" s="10" t="s">
        <v>233</v>
      </c>
      <c r="C142" s="3">
        <f t="shared" si="10"/>
        <v>842321.56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7">
        <v>0</v>
      </c>
      <c r="K142" s="4">
        <v>0</v>
      </c>
      <c r="L142" s="3">
        <v>505</v>
      </c>
      <c r="M142" s="3">
        <v>842321.56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53">
        <v>0</v>
      </c>
      <c r="X142" s="16"/>
    </row>
    <row r="143" spans="1:24" ht="18.75" hidden="1" customHeight="1">
      <c r="A143" s="44">
        <v>127</v>
      </c>
      <c r="B143" s="10" t="s">
        <v>234</v>
      </c>
      <c r="C143" s="3">
        <f t="shared" si="10"/>
        <v>3333254.59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8">
        <v>2</v>
      </c>
      <c r="K143" s="3">
        <v>3333254.59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42">
        <v>0</v>
      </c>
      <c r="X143" s="16"/>
    </row>
    <row r="144" spans="1:24" ht="18.75" hidden="1" customHeight="1">
      <c r="A144" s="44">
        <v>128</v>
      </c>
      <c r="B144" s="10" t="s">
        <v>116</v>
      </c>
      <c r="C144" s="3">
        <f t="shared" si="10"/>
        <v>1409635.12</v>
      </c>
      <c r="D144" s="4">
        <f>E144+F144+G144+H144+I144+O144+V144</f>
        <v>177803.42499999999</v>
      </c>
      <c r="E144" s="3">
        <f>26779.25/2+131489/2+98669.3</f>
        <v>177803.42499999999</v>
      </c>
      <c r="F144" s="3">
        <v>0</v>
      </c>
      <c r="G144" s="3">
        <v>0</v>
      </c>
      <c r="H144" s="3">
        <v>0</v>
      </c>
      <c r="I144" s="3">
        <v>0</v>
      </c>
      <c r="J144" s="7">
        <v>0</v>
      </c>
      <c r="K144" s="4">
        <v>0</v>
      </c>
      <c r="L144" s="3">
        <v>429.5</v>
      </c>
      <c r="M144" s="3">
        <f>26779.25/2+131489/2+1152697.57</f>
        <v>1231831.6950000001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53">
        <v>0</v>
      </c>
      <c r="X144" s="16"/>
    </row>
    <row r="145" spans="1:24" ht="18.75" hidden="1" customHeight="1">
      <c r="A145" s="44">
        <v>129</v>
      </c>
      <c r="B145" s="9" t="s">
        <v>117</v>
      </c>
      <c r="C145" s="3">
        <f t="shared" si="10"/>
        <v>6277978.29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13">
        <v>4</v>
      </c>
      <c r="K145" s="12">
        <v>6277978.29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42">
        <v>0</v>
      </c>
      <c r="X145" s="16"/>
    </row>
    <row r="146" spans="1:24" ht="18.75" hidden="1" customHeight="1">
      <c r="A146" s="44">
        <v>130</v>
      </c>
      <c r="B146" s="9" t="s">
        <v>118</v>
      </c>
      <c r="C146" s="3">
        <f t="shared" si="10"/>
        <v>3231715.95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13">
        <v>2</v>
      </c>
      <c r="K146" s="12">
        <v>3231715.95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42">
        <v>0</v>
      </c>
      <c r="X146" s="16"/>
    </row>
    <row r="147" spans="1:24" ht="18.75" hidden="1" customHeight="1">
      <c r="A147" s="44">
        <v>131</v>
      </c>
      <c r="B147" s="9" t="s">
        <v>119</v>
      </c>
      <c r="C147" s="3">
        <f t="shared" si="10"/>
        <v>1597580.43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13">
        <v>1</v>
      </c>
      <c r="K147" s="12">
        <v>1597580.43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42">
        <v>0</v>
      </c>
      <c r="X147" s="16"/>
    </row>
    <row r="148" spans="1:24" ht="18.75" hidden="1" customHeight="1">
      <c r="A148" s="44">
        <v>132</v>
      </c>
      <c r="B148" s="10" t="s">
        <v>235</v>
      </c>
      <c r="C148" s="3">
        <f t="shared" si="10"/>
        <v>1201017.83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8">
        <v>1</v>
      </c>
      <c r="K148" s="3">
        <v>1201017.83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42">
        <v>0</v>
      </c>
      <c r="X148" s="16"/>
    </row>
    <row r="149" spans="1:24" ht="18.75" hidden="1" customHeight="1">
      <c r="A149" s="44">
        <v>133</v>
      </c>
      <c r="B149" s="10" t="s">
        <v>120</v>
      </c>
      <c r="C149" s="3">
        <f t="shared" si="10"/>
        <v>9346511.1199999992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7">
        <v>6</v>
      </c>
      <c r="K149" s="3">
        <v>9346511.1199999992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42">
        <v>0</v>
      </c>
      <c r="X149" s="16"/>
    </row>
    <row r="150" spans="1:24" ht="18.75" hidden="1" customHeight="1">
      <c r="A150" s="44">
        <v>134</v>
      </c>
      <c r="B150" s="10" t="s">
        <v>121</v>
      </c>
      <c r="C150" s="3">
        <f>M150+T150+D150+K150+Q150+S150+U150</f>
        <v>11905358.59</v>
      </c>
      <c r="D150" s="4">
        <f>E150+F150+G150+H150+I150+O150+V150</f>
        <v>2444140.5466666669</v>
      </c>
      <c r="E150" s="4">
        <f>(246338.65/3+147868/3)/5+547531.55</f>
        <v>573811.9933333334</v>
      </c>
      <c r="F150" s="4">
        <f>(246338.65/3+147868/3)/5+1355120.72</f>
        <v>1381401.1633333333</v>
      </c>
      <c r="G150" s="4">
        <v>0</v>
      </c>
      <c r="H150" s="4">
        <f>(246338.65/3+147868/3)/5+98790.78</f>
        <v>125071.22333333333</v>
      </c>
      <c r="I150" s="4">
        <f>(246338.65/3+147868/3)/5+26145.93</f>
        <v>52426.373333333337</v>
      </c>
      <c r="J150" s="7">
        <v>0</v>
      </c>
      <c r="K150" s="4">
        <v>0</v>
      </c>
      <c r="L150" s="3">
        <v>0</v>
      </c>
      <c r="M150" s="3">
        <v>0</v>
      </c>
      <c r="N150" s="3">
        <v>0</v>
      </c>
      <c r="O150" s="3">
        <v>0</v>
      </c>
      <c r="P150" s="4">
        <v>2473</v>
      </c>
      <c r="Q150" s="4">
        <v>0</v>
      </c>
      <c r="R150" s="4">
        <v>50.66</v>
      </c>
      <c r="S150" s="4">
        <f>246338.65/3+147868/3+1820368.55</f>
        <v>1951770.7666666666</v>
      </c>
      <c r="T150" s="4">
        <f>246338.65/3+147868/3+7378045.06</f>
        <v>7509447.2766666664</v>
      </c>
      <c r="U150" s="4">
        <v>0</v>
      </c>
      <c r="V150" s="4">
        <f>(246338.65/3+147868/3)/5+61916.84+223232.51</f>
        <v>311429.79333333333</v>
      </c>
      <c r="W150" s="53">
        <v>0</v>
      </c>
      <c r="X150" s="16"/>
    </row>
    <row r="151" spans="1:24" ht="18.75" hidden="1" customHeight="1" thickBot="1">
      <c r="A151" s="46">
        <v>135</v>
      </c>
      <c r="B151" s="28" t="s">
        <v>122</v>
      </c>
      <c r="C151" s="29">
        <f t="shared" si="10"/>
        <v>8818873.209999999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2">
        <v>0</v>
      </c>
      <c r="K151" s="21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1824.5</v>
      </c>
      <c r="Q151" s="29">
        <v>0</v>
      </c>
      <c r="R151" s="29">
        <v>90.5</v>
      </c>
      <c r="S151" s="29">
        <f>184769.82/2+1410456.37</f>
        <v>1502841.28</v>
      </c>
      <c r="T151" s="29">
        <f>184769.82/2+7223647.02</f>
        <v>7316031.9299999997</v>
      </c>
      <c r="U151" s="21">
        <v>0</v>
      </c>
      <c r="V151" s="21">
        <v>0</v>
      </c>
      <c r="W151" s="50">
        <v>0</v>
      </c>
      <c r="X151" s="16"/>
    </row>
    <row r="152" spans="1:24" ht="18.75" hidden="1" customHeight="1" thickBot="1">
      <c r="A152" s="77" t="s">
        <v>28</v>
      </c>
      <c r="B152" s="78"/>
      <c r="C152" s="71">
        <f t="shared" ref="C152:W152" si="11">C153</f>
        <v>1470345.53</v>
      </c>
      <c r="D152" s="71">
        <f t="shared" si="11"/>
        <v>0</v>
      </c>
      <c r="E152" s="71">
        <f t="shared" si="11"/>
        <v>0</v>
      </c>
      <c r="F152" s="71">
        <f t="shared" si="11"/>
        <v>0</v>
      </c>
      <c r="G152" s="71">
        <f t="shared" si="11"/>
        <v>0</v>
      </c>
      <c r="H152" s="71">
        <f t="shared" si="11"/>
        <v>0</v>
      </c>
      <c r="I152" s="71">
        <f t="shared" si="11"/>
        <v>0</v>
      </c>
      <c r="J152" s="72">
        <f t="shared" si="11"/>
        <v>0</v>
      </c>
      <c r="K152" s="71">
        <f t="shared" si="11"/>
        <v>0</v>
      </c>
      <c r="L152" s="71">
        <f t="shared" si="11"/>
        <v>910</v>
      </c>
      <c r="M152" s="71">
        <f t="shared" si="11"/>
        <v>1470345.53</v>
      </c>
      <c r="N152" s="71">
        <f>N153</f>
        <v>0</v>
      </c>
      <c r="O152" s="71">
        <f>O153</f>
        <v>0</v>
      </c>
      <c r="P152" s="71">
        <f t="shared" si="11"/>
        <v>0</v>
      </c>
      <c r="Q152" s="71">
        <f t="shared" si="11"/>
        <v>0</v>
      </c>
      <c r="R152" s="71">
        <f t="shared" si="11"/>
        <v>0</v>
      </c>
      <c r="S152" s="71">
        <f t="shared" si="11"/>
        <v>0</v>
      </c>
      <c r="T152" s="71">
        <f t="shared" si="11"/>
        <v>0</v>
      </c>
      <c r="U152" s="71">
        <f t="shared" si="11"/>
        <v>0</v>
      </c>
      <c r="V152" s="71">
        <f t="shared" si="11"/>
        <v>0</v>
      </c>
      <c r="W152" s="73">
        <f t="shared" si="11"/>
        <v>0</v>
      </c>
      <c r="X152" s="16"/>
    </row>
    <row r="153" spans="1:24" ht="18.75" hidden="1" customHeight="1" thickBot="1">
      <c r="A153" s="40">
        <v>136</v>
      </c>
      <c r="B153" s="31" t="s">
        <v>123</v>
      </c>
      <c r="C153" s="32">
        <f>M153+D153+K153+O153+Q153+S153+T153+U153+W153</f>
        <v>1470345.53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5">
        <v>0</v>
      </c>
      <c r="K153" s="24">
        <v>0</v>
      </c>
      <c r="L153" s="32">
        <v>910</v>
      </c>
      <c r="M153" s="32">
        <v>1470345.53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51">
        <v>0</v>
      </c>
      <c r="X153" s="16"/>
    </row>
    <row r="154" spans="1:24" ht="18.75" hidden="1" customHeight="1" thickBot="1">
      <c r="A154" s="77" t="s">
        <v>29</v>
      </c>
      <c r="B154" s="78"/>
      <c r="C154" s="71">
        <f>C155+C156</f>
        <v>956421.86</v>
      </c>
      <c r="D154" s="71">
        <f t="shared" ref="D154:W154" si="12">D155+D156</f>
        <v>206000</v>
      </c>
      <c r="E154" s="71">
        <f t="shared" si="12"/>
        <v>56000</v>
      </c>
      <c r="F154" s="71">
        <f t="shared" si="12"/>
        <v>0</v>
      </c>
      <c r="G154" s="71">
        <f t="shared" si="12"/>
        <v>0</v>
      </c>
      <c r="H154" s="71">
        <f t="shared" si="12"/>
        <v>75000</v>
      </c>
      <c r="I154" s="71">
        <f t="shared" si="12"/>
        <v>75000</v>
      </c>
      <c r="J154" s="72">
        <f t="shared" si="12"/>
        <v>0</v>
      </c>
      <c r="K154" s="71">
        <f t="shared" si="12"/>
        <v>0</v>
      </c>
      <c r="L154" s="71">
        <f t="shared" si="12"/>
        <v>1235.42</v>
      </c>
      <c r="M154" s="71">
        <f t="shared" si="12"/>
        <v>750421.86</v>
      </c>
      <c r="N154" s="71">
        <f t="shared" si="12"/>
        <v>0</v>
      </c>
      <c r="O154" s="71">
        <f t="shared" si="12"/>
        <v>0</v>
      </c>
      <c r="P154" s="71">
        <f t="shared" si="12"/>
        <v>0</v>
      </c>
      <c r="Q154" s="71">
        <f t="shared" si="12"/>
        <v>0</v>
      </c>
      <c r="R154" s="71">
        <f t="shared" si="12"/>
        <v>0</v>
      </c>
      <c r="S154" s="71">
        <f t="shared" si="12"/>
        <v>0</v>
      </c>
      <c r="T154" s="71">
        <f t="shared" si="12"/>
        <v>0</v>
      </c>
      <c r="U154" s="71">
        <f t="shared" si="12"/>
        <v>0</v>
      </c>
      <c r="V154" s="71">
        <f t="shared" si="12"/>
        <v>0</v>
      </c>
      <c r="W154" s="73">
        <f t="shared" si="12"/>
        <v>0</v>
      </c>
      <c r="X154" s="16"/>
    </row>
    <row r="155" spans="1:24" ht="17.25" hidden="1" customHeight="1">
      <c r="A155" s="37">
        <v>137</v>
      </c>
      <c r="B155" s="30" t="s">
        <v>124</v>
      </c>
      <c r="C155" s="27">
        <f>M155+T155+D155+K155+O155+Q155+S155+U155+W155</f>
        <v>590128.86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9">
        <v>0</v>
      </c>
      <c r="K155" s="18">
        <v>0</v>
      </c>
      <c r="L155" s="27">
        <v>435.42</v>
      </c>
      <c r="M155" s="27">
        <v>590128.86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49">
        <v>0</v>
      </c>
      <c r="X155" s="16"/>
    </row>
    <row r="156" spans="1:24" s="11" customFormat="1" ht="18.75" hidden="1" customHeight="1" thickBot="1">
      <c r="A156" s="54">
        <v>138</v>
      </c>
      <c r="B156" s="33" t="s">
        <v>125</v>
      </c>
      <c r="C156" s="29">
        <f>M156+T156+D156+K156+O156+Q156+S156+U156+W156</f>
        <v>366293</v>
      </c>
      <c r="D156" s="21">
        <f>F156+G156+H156+I156+E156</f>
        <v>206000</v>
      </c>
      <c r="E156" s="21">
        <v>56000</v>
      </c>
      <c r="F156" s="21">
        <v>0</v>
      </c>
      <c r="G156" s="21">
        <v>0</v>
      </c>
      <c r="H156" s="21">
        <v>75000</v>
      </c>
      <c r="I156" s="21">
        <v>75000</v>
      </c>
      <c r="J156" s="22">
        <v>0</v>
      </c>
      <c r="K156" s="21">
        <v>0</v>
      </c>
      <c r="L156" s="29">
        <v>800</v>
      </c>
      <c r="M156" s="29">
        <v>160293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50">
        <v>0</v>
      </c>
      <c r="X156" s="48"/>
    </row>
    <row r="157" spans="1:24" ht="18.75" hidden="1" customHeight="1" thickBot="1">
      <c r="A157" s="77" t="s">
        <v>30</v>
      </c>
      <c r="B157" s="78"/>
      <c r="C157" s="71">
        <f>SUM(C158:C162)</f>
        <v>9744561.7100000009</v>
      </c>
      <c r="D157" s="71">
        <f t="shared" ref="D157:W157" si="13">SUM(D158:D162)</f>
        <v>0</v>
      </c>
      <c r="E157" s="71">
        <f t="shared" si="13"/>
        <v>0</v>
      </c>
      <c r="F157" s="71">
        <f t="shared" si="13"/>
        <v>0</v>
      </c>
      <c r="G157" s="71">
        <f t="shared" si="13"/>
        <v>0</v>
      </c>
      <c r="H157" s="71">
        <f t="shared" si="13"/>
        <v>0</v>
      </c>
      <c r="I157" s="71">
        <f t="shared" si="13"/>
        <v>0</v>
      </c>
      <c r="J157" s="72">
        <f t="shared" si="13"/>
        <v>0</v>
      </c>
      <c r="K157" s="71">
        <f t="shared" si="13"/>
        <v>0</v>
      </c>
      <c r="L157" s="71">
        <f t="shared" si="13"/>
        <v>2682.44</v>
      </c>
      <c r="M157" s="71">
        <f t="shared" si="13"/>
        <v>7894670.5099999998</v>
      </c>
      <c r="N157" s="71">
        <f>SUM(N158:N162)</f>
        <v>0</v>
      </c>
      <c r="O157" s="71">
        <f>SUM(O158:O162)</f>
        <v>0</v>
      </c>
      <c r="P157" s="71">
        <f t="shared" si="13"/>
        <v>0</v>
      </c>
      <c r="Q157" s="71">
        <f t="shared" si="13"/>
        <v>0</v>
      </c>
      <c r="R157" s="71">
        <f t="shared" si="13"/>
        <v>63.5</v>
      </c>
      <c r="S157" s="71">
        <f t="shared" si="13"/>
        <v>1849891.2</v>
      </c>
      <c r="T157" s="71">
        <f t="shared" si="13"/>
        <v>0</v>
      </c>
      <c r="U157" s="71">
        <f t="shared" si="13"/>
        <v>0</v>
      </c>
      <c r="V157" s="71">
        <f t="shared" si="13"/>
        <v>0</v>
      </c>
      <c r="W157" s="73">
        <f t="shared" si="13"/>
        <v>0</v>
      </c>
      <c r="X157" s="16"/>
    </row>
    <row r="158" spans="1:24" ht="18.75" hidden="1" customHeight="1">
      <c r="A158" s="37">
        <v>139</v>
      </c>
      <c r="B158" s="30" t="s">
        <v>126</v>
      </c>
      <c r="C158" s="27">
        <f>D158+K158+O158+Q158+S158+T158+U158+W158+M158</f>
        <v>1644778.2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9">
        <v>0</v>
      </c>
      <c r="K158" s="18">
        <v>0</v>
      </c>
      <c r="L158" s="27">
        <v>633</v>
      </c>
      <c r="M158" s="27">
        <v>1644778.2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49">
        <v>0</v>
      </c>
      <c r="X158" s="16"/>
    </row>
    <row r="159" spans="1:24" ht="18.75" hidden="1" customHeight="1">
      <c r="A159" s="41">
        <v>140</v>
      </c>
      <c r="B159" s="10" t="s">
        <v>127</v>
      </c>
      <c r="C159" s="3">
        <f t="shared" ref="C159:C162" si="14">D159+K159+O159+Q159+S159+T159+U159+W159+M159</f>
        <v>1315890.5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7">
        <v>0</v>
      </c>
      <c r="K159" s="4">
        <v>0</v>
      </c>
      <c r="L159" s="3">
        <v>333</v>
      </c>
      <c r="M159" s="3">
        <v>1315890.5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53">
        <v>0</v>
      </c>
      <c r="X159" s="16"/>
    </row>
    <row r="160" spans="1:24" ht="18.75" hidden="1" customHeight="1">
      <c r="A160" s="41">
        <v>141</v>
      </c>
      <c r="B160" s="10" t="s">
        <v>128</v>
      </c>
      <c r="C160" s="3">
        <f t="shared" si="14"/>
        <v>1849891.2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7">
        <v>0</v>
      </c>
      <c r="K160" s="4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63.5</v>
      </c>
      <c r="S160" s="3">
        <v>1849891.2</v>
      </c>
      <c r="T160" s="5">
        <v>0</v>
      </c>
      <c r="U160" s="4">
        <v>0</v>
      </c>
      <c r="V160" s="4">
        <v>0</v>
      </c>
      <c r="W160" s="53">
        <v>0</v>
      </c>
      <c r="X160" s="16"/>
    </row>
    <row r="161" spans="1:24" ht="18.75" hidden="1" customHeight="1">
      <c r="A161" s="41">
        <v>142</v>
      </c>
      <c r="B161" s="10" t="s">
        <v>129</v>
      </c>
      <c r="C161" s="3">
        <f t="shared" si="14"/>
        <v>2414519.2200000002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7">
        <v>0</v>
      </c>
      <c r="K161" s="4">
        <v>0</v>
      </c>
      <c r="L161" s="3">
        <v>857.2</v>
      </c>
      <c r="M161" s="3">
        <v>2414519.2200000002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53">
        <v>0</v>
      </c>
      <c r="X161" s="16"/>
    </row>
    <row r="162" spans="1:24" ht="18.75" hidden="1" customHeight="1" thickBot="1">
      <c r="A162" s="39">
        <v>143</v>
      </c>
      <c r="B162" s="28" t="s">
        <v>130</v>
      </c>
      <c r="C162" s="29">
        <f t="shared" si="14"/>
        <v>2519482.59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2">
        <v>0</v>
      </c>
      <c r="K162" s="21">
        <v>0</v>
      </c>
      <c r="L162" s="29">
        <v>859.24</v>
      </c>
      <c r="M162" s="29">
        <v>2519482.59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50">
        <v>0</v>
      </c>
      <c r="X162" s="16"/>
    </row>
    <row r="163" spans="1:24" ht="18.75" hidden="1" customHeight="1" thickBot="1">
      <c r="A163" s="77" t="s">
        <v>4</v>
      </c>
      <c r="B163" s="78"/>
      <c r="C163" s="68">
        <f>SUM(C164:C171)</f>
        <v>18821425.489999998</v>
      </c>
      <c r="D163" s="68">
        <f t="shared" ref="D163:W163" si="15">SUM(D164:D171)</f>
        <v>1991062.6900000002</v>
      </c>
      <c r="E163" s="68">
        <f t="shared" si="15"/>
        <v>446749.24458333338</v>
      </c>
      <c r="F163" s="68">
        <f t="shared" si="15"/>
        <v>637368.33083333331</v>
      </c>
      <c r="G163" s="68">
        <f t="shared" si="15"/>
        <v>0</v>
      </c>
      <c r="H163" s="68">
        <f t="shared" si="15"/>
        <v>129909.08458333334</v>
      </c>
      <c r="I163" s="68">
        <f t="shared" si="15"/>
        <v>167725.69458333333</v>
      </c>
      <c r="J163" s="69">
        <f t="shared" si="15"/>
        <v>0</v>
      </c>
      <c r="K163" s="68">
        <f t="shared" si="15"/>
        <v>0</v>
      </c>
      <c r="L163" s="68">
        <f t="shared" si="15"/>
        <v>3165.38</v>
      </c>
      <c r="M163" s="68">
        <f t="shared" si="15"/>
        <v>8726660.629999999</v>
      </c>
      <c r="N163" s="68">
        <f>SUM(N164:N171)</f>
        <v>107.51</v>
      </c>
      <c r="O163" s="68">
        <f>SUM(O164:O171)</f>
        <v>282996.64083333337</v>
      </c>
      <c r="P163" s="68">
        <f t="shared" si="15"/>
        <v>2059</v>
      </c>
      <c r="Q163" s="68">
        <f t="shared" si="15"/>
        <v>2839376.19</v>
      </c>
      <c r="R163" s="68">
        <f t="shared" si="15"/>
        <v>102.18</v>
      </c>
      <c r="S163" s="68">
        <f t="shared" si="15"/>
        <v>1627938.865</v>
      </c>
      <c r="T163" s="68">
        <f t="shared" si="15"/>
        <v>3636387.1150000002</v>
      </c>
      <c r="U163" s="68">
        <f t="shared" si="15"/>
        <v>0</v>
      </c>
      <c r="V163" s="68">
        <f t="shared" si="15"/>
        <v>326313.69458333333</v>
      </c>
      <c r="W163" s="70">
        <f t="shared" si="15"/>
        <v>0</v>
      </c>
      <c r="X163" s="16"/>
    </row>
    <row r="164" spans="1:24" ht="18.75" hidden="1" customHeight="1">
      <c r="A164" s="37">
        <v>144</v>
      </c>
      <c r="B164" s="30" t="s">
        <v>131</v>
      </c>
      <c r="C164" s="27">
        <f>D164+K164+M164+Q164+S164+T164</f>
        <v>3879603.3500000006</v>
      </c>
      <c r="D164" s="27">
        <f>E164+F164+G164+H164+I164+O164+V164</f>
        <v>1765924.7950000002</v>
      </c>
      <c r="E164" s="27">
        <f>(77431.31/2+183886.7/2)/6+311558.78</f>
        <v>333335.28083333338</v>
      </c>
      <c r="F164" s="27">
        <f>(77431.31/2+183886.7/2)/6+615591.83</f>
        <v>637368.33083333331</v>
      </c>
      <c r="G164" s="27">
        <v>0</v>
      </c>
      <c r="H164" s="27">
        <f>(77431.31/2+183886.7/2)/6+75861.24</f>
        <v>97637.740833333344</v>
      </c>
      <c r="I164" s="27">
        <f>(77431.31/2+183886.7/2)/6+96710.39</f>
        <v>118486.89083333334</v>
      </c>
      <c r="J164" s="19">
        <v>0</v>
      </c>
      <c r="K164" s="18">
        <v>0</v>
      </c>
      <c r="L164" s="27">
        <v>696.71</v>
      </c>
      <c r="M164" s="27">
        <v>2113678.5550000002</v>
      </c>
      <c r="N164" s="18">
        <v>107.51</v>
      </c>
      <c r="O164" s="27">
        <f>(77431.31/2+183886.7/2)/6+261220.14</f>
        <v>282996.64083333337</v>
      </c>
      <c r="P164" s="18">
        <v>0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27">
        <f>(77431.31/2+183886.7/2)/6+57448.84+216874.57</f>
        <v>296099.91083333333</v>
      </c>
      <c r="W164" s="49">
        <v>0</v>
      </c>
      <c r="X164" s="16"/>
    </row>
    <row r="165" spans="1:24" ht="18.75" hidden="1" customHeight="1">
      <c r="A165" s="41">
        <v>145</v>
      </c>
      <c r="B165" s="10" t="s">
        <v>236</v>
      </c>
      <c r="C165" s="3">
        <f t="shared" ref="C165:C171" si="16">D165+K165+M165+Q165+S165+T165</f>
        <v>1188058.31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7">
        <v>0</v>
      </c>
      <c r="K165" s="4">
        <v>0</v>
      </c>
      <c r="L165" s="3">
        <v>477</v>
      </c>
      <c r="M165" s="3">
        <v>1188058.31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53">
        <v>0</v>
      </c>
      <c r="X165" s="16"/>
    </row>
    <row r="166" spans="1:24" ht="18.75" hidden="1" customHeight="1">
      <c r="A166" s="41">
        <v>146</v>
      </c>
      <c r="B166" s="10" t="s">
        <v>132</v>
      </c>
      <c r="C166" s="3">
        <f t="shared" si="16"/>
        <v>4835832.67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7">
        <v>0</v>
      </c>
      <c r="K166" s="4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1113</v>
      </c>
      <c r="Q166" s="3">
        <v>0</v>
      </c>
      <c r="R166" s="3">
        <v>62.34</v>
      </c>
      <c r="S166" s="3">
        <v>1199445.5549999999</v>
      </c>
      <c r="T166" s="5">
        <v>3636387.1150000002</v>
      </c>
      <c r="U166" s="4">
        <v>0</v>
      </c>
      <c r="V166" s="4">
        <v>0</v>
      </c>
      <c r="W166" s="53">
        <v>0</v>
      </c>
      <c r="X166" s="16"/>
    </row>
    <row r="167" spans="1:24" ht="18.75" hidden="1" customHeight="1">
      <c r="A167" s="41">
        <v>147</v>
      </c>
      <c r="B167" s="10" t="s">
        <v>237</v>
      </c>
      <c r="C167" s="3">
        <f t="shared" si="16"/>
        <v>3267869.5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7">
        <v>0</v>
      </c>
      <c r="K167" s="4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946</v>
      </c>
      <c r="Q167" s="3">
        <v>2839376.19</v>
      </c>
      <c r="R167" s="3">
        <v>39.840000000000003</v>
      </c>
      <c r="S167" s="3">
        <v>428493.31</v>
      </c>
      <c r="T167" s="5">
        <v>0</v>
      </c>
      <c r="U167" s="4">
        <v>0</v>
      </c>
      <c r="V167" s="4">
        <v>0</v>
      </c>
      <c r="W167" s="53">
        <v>0</v>
      </c>
      <c r="X167" s="16"/>
    </row>
    <row r="168" spans="1:24" ht="18.75" hidden="1" customHeight="1">
      <c r="A168" s="41">
        <v>148</v>
      </c>
      <c r="B168" s="10" t="s">
        <v>238</v>
      </c>
      <c r="C168" s="3">
        <f t="shared" si="16"/>
        <v>2094265.37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7">
        <v>0</v>
      </c>
      <c r="K168" s="4">
        <v>0</v>
      </c>
      <c r="L168" s="3">
        <v>777</v>
      </c>
      <c r="M168" s="3">
        <v>2094265.37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53">
        <v>0</v>
      </c>
      <c r="X168" s="16"/>
    </row>
    <row r="169" spans="1:24" ht="18.75" hidden="1" customHeight="1">
      <c r="A169" s="41">
        <v>149</v>
      </c>
      <c r="B169" s="10" t="s">
        <v>133</v>
      </c>
      <c r="C169" s="3">
        <f t="shared" si="16"/>
        <v>935784.82000000007</v>
      </c>
      <c r="D169" s="3">
        <f>E169+F169+G169+H169+I169+O169+V169</f>
        <v>225137.89499999999</v>
      </c>
      <c r="E169" s="3">
        <f>(17742.83/2+88938/2)/4+100078.86</f>
        <v>113413.96375</v>
      </c>
      <c r="F169" s="3">
        <v>0</v>
      </c>
      <c r="G169" s="3">
        <v>0</v>
      </c>
      <c r="H169" s="3">
        <f>(17742.83/2+88938/2)/4+18936.24</f>
        <v>32271.34375</v>
      </c>
      <c r="I169" s="3">
        <f>(17742.83/2+88938/2)/4+35903.7</f>
        <v>49238.803749999999</v>
      </c>
      <c r="J169" s="7">
        <v>0</v>
      </c>
      <c r="K169" s="4">
        <v>0</v>
      </c>
      <c r="L169" s="3">
        <v>274</v>
      </c>
      <c r="M169" s="3">
        <f>17742.83/2+88938/2+657306.51</f>
        <v>710646.92500000005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3">
        <f>(17742.83/2+88938/2)/4+16878.68</f>
        <v>30213.783750000002</v>
      </c>
      <c r="W169" s="53">
        <v>0</v>
      </c>
      <c r="X169" s="16"/>
    </row>
    <row r="170" spans="1:24" ht="18.75" hidden="1" customHeight="1">
      <c r="A170" s="41">
        <v>150</v>
      </c>
      <c r="B170" s="10" t="s">
        <v>239</v>
      </c>
      <c r="C170" s="3">
        <f t="shared" si="16"/>
        <v>1122904.27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7">
        <v>0</v>
      </c>
      <c r="K170" s="4">
        <v>0</v>
      </c>
      <c r="L170" s="3">
        <v>475.67</v>
      </c>
      <c r="M170" s="3">
        <v>1122904.27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53">
        <v>0</v>
      </c>
      <c r="X170" s="16"/>
    </row>
    <row r="171" spans="1:24" ht="18.75" hidden="1" customHeight="1" thickBot="1">
      <c r="A171" s="39">
        <v>151</v>
      </c>
      <c r="B171" s="28" t="s">
        <v>240</v>
      </c>
      <c r="C171" s="29">
        <f t="shared" si="16"/>
        <v>1497107.2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2">
        <v>0</v>
      </c>
      <c r="K171" s="21">
        <v>0</v>
      </c>
      <c r="L171" s="29">
        <v>465</v>
      </c>
      <c r="M171" s="29">
        <v>1497107.2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50">
        <v>0</v>
      </c>
      <c r="X171" s="16"/>
    </row>
    <row r="172" spans="1:24" ht="18.75" hidden="1" customHeight="1" thickBot="1">
      <c r="A172" s="77" t="s">
        <v>19</v>
      </c>
      <c r="B172" s="78"/>
      <c r="C172" s="71">
        <f>SUM(C173:C181)</f>
        <v>51857562.519999996</v>
      </c>
      <c r="D172" s="71">
        <f t="shared" ref="D172:W172" si="17">SUM(D173:D181)</f>
        <v>4430005.2166666668</v>
      </c>
      <c r="E172" s="71">
        <f t="shared" si="17"/>
        <v>772435.58177777776</v>
      </c>
      <c r="F172" s="71">
        <f t="shared" si="17"/>
        <v>1762955.3317777778</v>
      </c>
      <c r="G172" s="71">
        <f t="shared" si="17"/>
        <v>0</v>
      </c>
      <c r="H172" s="71">
        <f t="shared" si="17"/>
        <v>232225.84777777779</v>
      </c>
      <c r="I172" s="71">
        <f t="shared" si="17"/>
        <v>334313.13177777774</v>
      </c>
      <c r="J172" s="72">
        <f t="shared" si="17"/>
        <v>0</v>
      </c>
      <c r="K172" s="71">
        <f t="shared" si="17"/>
        <v>0</v>
      </c>
      <c r="L172" s="71">
        <f t="shared" si="17"/>
        <v>6538.72</v>
      </c>
      <c r="M172" s="71">
        <f t="shared" si="17"/>
        <v>15670100.835000001</v>
      </c>
      <c r="N172" s="71">
        <f>SUM(N173:N181)</f>
        <v>629.66</v>
      </c>
      <c r="O172" s="71">
        <f>SUM(O173:O181)</f>
        <v>723572.85177777777</v>
      </c>
      <c r="P172" s="71">
        <f t="shared" si="17"/>
        <v>8928.82</v>
      </c>
      <c r="Q172" s="71">
        <f t="shared" si="17"/>
        <v>0</v>
      </c>
      <c r="R172" s="71">
        <f t="shared" si="17"/>
        <v>39.25</v>
      </c>
      <c r="S172" s="71">
        <f t="shared" si="17"/>
        <v>1468641.5633333332</v>
      </c>
      <c r="T172" s="71">
        <f t="shared" si="17"/>
        <v>30288814.905000001</v>
      </c>
      <c r="U172" s="71">
        <f t="shared" si="17"/>
        <v>0</v>
      </c>
      <c r="V172" s="71">
        <f t="shared" si="17"/>
        <v>604502.47177777777</v>
      </c>
      <c r="W172" s="73">
        <f t="shared" si="17"/>
        <v>0</v>
      </c>
      <c r="X172" s="16"/>
    </row>
    <row r="173" spans="1:24" ht="18.75" hidden="1" customHeight="1">
      <c r="A173" s="37">
        <v>152</v>
      </c>
      <c r="B173" s="30" t="s">
        <v>134</v>
      </c>
      <c r="C173" s="27">
        <f>M173+D173+K173+O173+Q173+S173+T173+U173+W173</f>
        <v>4784950.83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9">
        <v>0</v>
      </c>
      <c r="K173" s="18">
        <v>0</v>
      </c>
      <c r="L173" s="27">
        <v>651.29999999999995</v>
      </c>
      <c r="M173" s="27">
        <f>(99234.97+48568)/2+1329714.8</f>
        <v>1403616.2850000001</v>
      </c>
      <c r="N173" s="18">
        <v>0</v>
      </c>
      <c r="O173" s="18">
        <v>0</v>
      </c>
      <c r="P173" s="18">
        <v>923</v>
      </c>
      <c r="Q173" s="18">
        <v>0</v>
      </c>
      <c r="R173" s="18">
        <v>0</v>
      </c>
      <c r="S173" s="18">
        <v>0</v>
      </c>
      <c r="T173" s="27">
        <f>(99234.97+48568)/2+3307433.06</f>
        <v>3381334.5449999999</v>
      </c>
      <c r="U173" s="18">
        <v>0</v>
      </c>
      <c r="V173" s="18">
        <v>0</v>
      </c>
      <c r="W173" s="49">
        <v>0</v>
      </c>
      <c r="X173" s="16"/>
    </row>
    <row r="174" spans="1:24" ht="18.75" hidden="1" customHeight="1">
      <c r="A174" s="41">
        <v>153</v>
      </c>
      <c r="B174" s="10" t="s">
        <v>135</v>
      </c>
      <c r="C174" s="3">
        <f>M174+D174+K174+Q174+S174+T174+U174+W174</f>
        <v>6328669.0499999998</v>
      </c>
      <c r="D174" s="3">
        <f>E174+F174+G174+H174+I174+O174+V174</f>
        <v>1264554.27</v>
      </c>
      <c r="E174" s="3">
        <f>(130565.02/3+96935/3)/6+271766.83</f>
        <v>284405.72000000003</v>
      </c>
      <c r="F174" s="3">
        <f>(130565.02/3+96935/3)/6+404716.45</f>
        <v>417355.34</v>
      </c>
      <c r="G174" s="3">
        <v>0</v>
      </c>
      <c r="H174" s="3">
        <f>(130565.02/3+96935/3)/6+118375.88</f>
        <v>131014.77</v>
      </c>
      <c r="I174" s="3">
        <f>(130565.02/3+96935/3)/6+162691.77</f>
        <v>175330.65999999997</v>
      </c>
      <c r="J174" s="7">
        <v>0</v>
      </c>
      <c r="K174" s="4">
        <v>0</v>
      </c>
      <c r="L174" s="3">
        <v>501.7</v>
      </c>
      <c r="M174" s="3">
        <f>(130565.02+96935)/3+1507243.26</f>
        <v>1583076.6</v>
      </c>
      <c r="N174" s="4">
        <v>54.93</v>
      </c>
      <c r="O174" s="3">
        <f>(130565.02/3+96935/3)/6+43011.08</f>
        <v>55649.97</v>
      </c>
      <c r="P174" s="4">
        <v>961.26</v>
      </c>
      <c r="Q174" s="4">
        <v>0</v>
      </c>
      <c r="R174" s="4">
        <v>0</v>
      </c>
      <c r="S174" s="4">
        <v>0</v>
      </c>
      <c r="T174" s="3">
        <f>(130565.02+96935)/3+3405204.84</f>
        <v>3481038.1799999997</v>
      </c>
      <c r="U174" s="4">
        <v>0</v>
      </c>
      <c r="V174" s="3">
        <f>(130565.02/3+96935/3)/6+30673.92+157485</f>
        <v>200797.81</v>
      </c>
      <c r="W174" s="53">
        <v>0</v>
      </c>
      <c r="X174" s="16"/>
    </row>
    <row r="175" spans="1:24" ht="18.75" hidden="1" customHeight="1">
      <c r="A175" s="41">
        <v>154</v>
      </c>
      <c r="B175" s="10" t="s">
        <v>136</v>
      </c>
      <c r="C175" s="3">
        <f t="shared" ref="C175:C181" si="18">M175+D175+K175+O175+Q175+S175+T175+U175+W175</f>
        <v>5345246.55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7">
        <v>0</v>
      </c>
      <c r="K175" s="4">
        <v>0</v>
      </c>
      <c r="L175" s="3">
        <v>828.15</v>
      </c>
      <c r="M175" s="3">
        <f>(110934.39+50462)/2+1963927.14</f>
        <v>2044625.335</v>
      </c>
      <c r="N175" s="4">
        <v>0</v>
      </c>
      <c r="O175" s="4">
        <v>0</v>
      </c>
      <c r="P175" s="4">
        <v>979.6</v>
      </c>
      <c r="Q175" s="4">
        <v>0</v>
      </c>
      <c r="R175" s="4">
        <v>0</v>
      </c>
      <c r="S175" s="4">
        <v>0</v>
      </c>
      <c r="T175" s="3">
        <f>(110934.39+50462)/2+3219923.02</f>
        <v>3300621.2149999999</v>
      </c>
      <c r="U175" s="4">
        <v>0</v>
      </c>
      <c r="V175" s="4">
        <v>0</v>
      </c>
      <c r="W175" s="53">
        <v>0</v>
      </c>
      <c r="X175" s="16"/>
    </row>
    <row r="176" spans="1:24" ht="18.75" hidden="1" customHeight="1">
      <c r="A176" s="41">
        <v>155</v>
      </c>
      <c r="B176" s="10" t="s">
        <v>137</v>
      </c>
      <c r="C176" s="3">
        <f t="shared" si="18"/>
        <v>2190825.9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7">
        <v>0</v>
      </c>
      <c r="K176" s="4">
        <v>0</v>
      </c>
      <c r="L176" s="3">
        <v>854</v>
      </c>
      <c r="M176" s="3">
        <v>2190825.9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53">
        <v>0</v>
      </c>
      <c r="X176" s="16"/>
    </row>
    <row r="177" spans="1:24" ht="18.75" hidden="1" customHeight="1">
      <c r="A177" s="41">
        <v>156</v>
      </c>
      <c r="B177" s="10" t="s">
        <v>138</v>
      </c>
      <c r="C177" s="3">
        <f>M177+D177+K177+Q177+S177+T177+U177+W177</f>
        <v>7769023.3900000006</v>
      </c>
      <c r="D177" s="3">
        <f>E177+F177+G177+H177+I177+O177+V177</f>
        <v>1734632.5866666664</v>
      </c>
      <c r="E177" s="3">
        <f>(160797.54/3+94322/3)/6+298582.34</f>
        <v>312755.64777777781</v>
      </c>
      <c r="F177" s="3">
        <f>(160797.54/3+94322/3)/6+741213.1</f>
        <v>755386.40777777776</v>
      </c>
      <c r="G177" s="3">
        <v>0</v>
      </c>
      <c r="H177" s="3">
        <f>(160797.54/3+94322/3)/6+87037.77</f>
        <v>101211.07777777778</v>
      </c>
      <c r="I177" s="3">
        <f>(160797.54/3+94322/3)/6+113742.13</f>
        <v>127915.43777777778</v>
      </c>
      <c r="J177" s="7">
        <v>0</v>
      </c>
      <c r="K177" s="4">
        <v>0</v>
      </c>
      <c r="L177" s="3">
        <v>816</v>
      </c>
      <c r="M177" s="3">
        <v>1947522.4366666668</v>
      </c>
      <c r="N177" s="4">
        <v>205.83</v>
      </c>
      <c r="O177" s="3">
        <f>(160797.54/3+94322/3)/6+244673.68</f>
        <v>258846.98777777777</v>
      </c>
      <c r="P177" s="4">
        <v>1346.44</v>
      </c>
      <c r="Q177" s="4">
        <v>0</v>
      </c>
      <c r="R177" s="4">
        <v>0</v>
      </c>
      <c r="S177" s="4">
        <v>0</v>
      </c>
      <c r="T177" s="5">
        <v>4086868.3666666667</v>
      </c>
      <c r="U177" s="4">
        <v>0</v>
      </c>
      <c r="V177" s="3">
        <f>(160797.54/3+94322/3)/6+26363.35+137980.37</f>
        <v>178517.02777777778</v>
      </c>
      <c r="W177" s="53">
        <v>0</v>
      </c>
      <c r="X177" s="16"/>
    </row>
    <row r="178" spans="1:24" ht="18.75" hidden="1" customHeight="1">
      <c r="A178" s="41">
        <v>157</v>
      </c>
      <c r="B178" s="10" t="s">
        <v>139</v>
      </c>
      <c r="C178" s="3">
        <f t="shared" si="18"/>
        <v>7607052.8800000008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7">
        <v>0</v>
      </c>
      <c r="K178" s="4">
        <v>0</v>
      </c>
      <c r="L178" s="3">
        <v>835.27</v>
      </c>
      <c r="M178" s="3">
        <v>2247353.2633333337</v>
      </c>
      <c r="N178" s="3">
        <v>0</v>
      </c>
      <c r="O178" s="3">
        <v>0</v>
      </c>
      <c r="P178" s="3">
        <v>1352.02</v>
      </c>
      <c r="Q178" s="3">
        <v>0</v>
      </c>
      <c r="R178" s="3">
        <v>39.25</v>
      </c>
      <c r="S178" s="3">
        <v>1468641.5633333332</v>
      </c>
      <c r="T178" s="5">
        <v>3891058.0533333337</v>
      </c>
      <c r="U178" s="4">
        <v>0</v>
      </c>
      <c r="V178" s="4">
        <v>0</v>
      </c>
      <c r="W178" s="53">
        <v>0</v>
      </c>
      <c r="X178" s="16"/>
    </row>
    <row r="179" spans="1:24" ht="18.75" hidden="1" customHeight="1">
      <c r="A179" s="41">
        <v>158</v>
      </c>
      <c r="B179" s="10" t="s">
        <v>140</v>
      </c>
      <c r="C179" s="3">
        <f>M179+D179+K179+Q179+S179+T179+U179+W179</f>
        <v>6394757.5800000001</v>
      </c>
      <c r="D179" s="3">
        <f>E179+F179+G179+H179+I179+O179+V179</f>
        <v>1430818.3599999999</v>
      </c>
      <c r="E179" s="3">
        <f>(131923.71/3+98175/3)/5+159934.3</f>
        <v>175274.21399999998</v>
      </c>
      <c r="F179" s="3">
        <f>(131923.71/3+98175/3)/5+574873.67</f>
        <v>590213.58400000003</v>
      </c>
      <c r="G179" s="3">
        <v>0</v>
      </c>
      <c r="H179" s="3">
        <v>0</v>
      </c>
      <c r="I179" s="3">
        <f>(131923.71/3+98175/3)/5+15727.12</f>
        <v>31067.034</v>
      </c>
      <c r="J179" s="7">
        <v>0</v>
      </c>
      <c r="K179" s="4">
        <v>0</v>
      </c>
      <c r="L179" s="3">
        <v>678</v>
      </c>
      <c r="M179" s="3">
        <f>(131923.71/3+98175/3)+1156139.69</f>
        <v>1232839.26</v>
      </c>
      <c r="N179" s="4">
        <v>368.9</v>
      </c>
      <c r="O179" s="3">
        <f>(131923.71/3+98175/3)/5+393735.98</f>
        <v>409075.89399999997</v>
      </c>
      <c r="P179" s="4">
        <v>934</v>
      </c>
      <c r="Q179" s="4">
        <v>0</v>
      </c>
      <c r="R179" s="4">
        <v>0</v>
      </c>
      <c r="S179" s="4">
        <v>0</v>
      </c>
      <c r="T179" s="3">
        <f>(131923.71/3+98175/3)+3654400.39</f>
        <v>3731099.96</v>
      </c>
      <c r="U179" s="4">
        <v>0</v>
      </c>
      <c r="V179" s="3">
        <f>(131923.71/3+98175/3)/5+209847.72</f>
        <v>225187.63399999999</v>
      </c>
      <c r="W179" s="53">
        <v>0</v>
      </c>
      <c r="X179" s="16"/>
    </row>
    <row r="180" spans="1:24" ht="18.75" hidden="1" customHeight="1">
      <c r="A180" s="41">
        <v>159</v>
      </c>
      <c r="B180" s="10" t="s">
        <v>141</v>
      </c>
      <c r="C180" s="3">
        <f t="shared" si="18"/>
        <v>5109476.83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7">
        <v>0</v>
      </c>
      <c r="K180" s="4">
        <v>0</v>
      </c>
      <c r="L180" s="3">
        <v>669</v>
      </c>
      <c r="M180" s="3">
        <f>(102541.56+48662)/2+1419448.24</f>
        <v>1495050.02</v>
      </c>
      <c r="N180" s="4">
        <v>0</v>
      </c>
      <c r="O180" s="4">
        <v>0</v>
      </c>
      <c r="P180" s="4">
        <v>914</v>
      </c>
      <c r="Q180" s="4">
        <v>0</v>
      </c>
      <c r="R180" s="4">
        <v>0</v>
      </c>
      <c r="S180" s="4">
        <v>0</v>
      </c>
      <c r="T180" s="3">
        <f>(102541.56+48662)/2+3538825.03</f>
        <v>3614426.8099999996</v>
      </c>
      <c r="U180" s="4">
        <v>0</v>
      </c>
      <c r="V180" s="4">
        <v>0</v>
      </c>
      <c r="W180" s="53">
        <v>0</v>
      </c>
      <c r="X180" s="16"/>
    </row>
    <row r="181" spans="1:24" ht="18.75" hidden="1" customHeight="1" thickBot="1">
      <c r="A181" s="39">
        <v>160</v>
      </c>
      <c r="B181" s="28" t="s">
        <v>142</v>
      </c>
      <c r="C181" s="29">
        <f t="shared" si="18"/>
        <v>6327559.5100000007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2">
        <v>0</v>
      </c>
      <c r="K181" s="21">
        <v>0</v>
      </c>
      <c r="L181" s="29">
        <v>705.3</v>
      </c>
      <c r="M181" s="29">
        <f>131078.89/2+71299/2+1424002.79</f>
        <v>1525191.7350000001</v>
      </c>
      <c r="N181" s="21">
        <v>0</v>
      </c>
      <c r="O181" s="21">
        <v>0</v>
      </c>
      <c r="P181" s="21">
        <v>1518.5</v>
      </c>
      <c r="Q181" s="21">
        <v>0</v>
      </c>
      <c r="R181" s="21">
        <v>0</v>
      </c>
      <c r="S181" s="21">
        <v>0</v>
      </c>
      <c r="T181" s="29">
        <f>131078.89/2+71299/2+4701178.83</f>
        <v>4802367.7750000004</v>
      </c>
      <c r="U181" s="21">
        <v>0</v>
      </c>
      <c r="V181" s="21">
        <v>0</v>
      </c>
      <c r="W181" s="50">
        <v>0</v>
      </c>
      <c r="X181" s="16"/>
    </row>
    <row r="182" spans="1:24" ht="18.75" hidden="1" customHeight="1" thickBot="1">
      <c r="A182" s="77" t="s">
        <v>31</v>
      </c>
      <c r="B182" s="78"/>
      <c r="C182" s="71">
        <f>C183</f>
        <v>1759142.78</v>
      </c>
      <c r="D182" s="71">
        <f t="shared" ref="D182:W182" si="19">D183</f>
        <v>0</v>
      </c>
      <c r="E182" s="71">
        <f t="shared" si="19"/>
        <v>0</v>
      </c>
      <c r="F182" s="71">
        <f t="shared" si="19"/>
        <v>0</v>
      </c>
      <c r="G182" s="71">
        <f t="shared" si="19"/>
        <v>0</v>
      </c>
      <c r="H182" s="71">
        <f t="shared" si="19"/>
        <v>0</v>
      </c>
      <c r="I182" s="71">
        <f t="shared" si="19"/>
        <v>0</v>
      </c>
      <c r="J182" s="72">
        <f t="shared" si="19"/>
        <v>0</v>
      </c>
      <c r="K182" s="71">
        <f t="shared" si="19"/>
        <v>0</v>
      </c>
      <c r="L182" s="71">
        <f t="shared" si="19"/>
        <v>750</v>
      </c>
      <c r="M182" s="71">
        <f t="shared" si="19"/>
        <v>1759142.78</v>
      </c>
      <c r="N182" s="71">
        <f>N183</f>
        <v>0</v>
      </c>
      <c r="O182" s="71">
        <f>O183</f>
        <v>0</v>
      </c>
      <c r="P182" s="71">
        <f t="shared" si="19"/>
        <v>0</v>
      </c>
      <c r="Q182" s="71">
        <f t="shared" si="19"/>
        <v>0</v>
      </c>
      <c r="R182" s="71">
        <f t="shared" si="19"/>
        <v>0</v>
      </c>
      <c r="S182" s="71">
        <f t="shared" si="19"/>
        <v>0</v>
      </c>
      <c r="T182" s="71">
        <f t="shared" si="19"/>
        <v>0</v>
      </c>
      <c r="U182" s="71">
        <f t="shared" si="19"/>
        <v>0</v>
      </c>
      <c r="V182" s="71">
        <f t="shared" si="19"/>
        <v>0</v>
      </c>
      <c r="W182" s="73">
        <f t="shared" si="19"/>
        <v>0</v>
      </c>
      <c r="X182" s="16"/>
    </row>
    <row r="183" spans="1:24" ht="18.75" hidden="1" customHeight="1" thickBot="1">
      <c r="A183" s="40">
        <v>161</v>
      </c>
      <c r="B183" s="31" t="s">
        <v>187</v>
      </c>
      <c r="C183" s="32">
        <f>M183+D183+K183+O183+Q183+S183+T183+U183+W183</f>
        <v>1759142.78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5">
        <v>0</v>
      </c>
      <c r="K183" s="24">
        <v>0</v>
      </c>
      <c r="L183" s="32">
        <v>750</v>
      </c>
      <c r="M183" s="32">
        <v>1759142.78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51">
        <v>0</v>
      </c>
      <c r="X183" s="16"/>
    </row>
    <row r="184" spans="1:24" ht="18.75" hidden="1" customHeight="1" thickBot="1">
      <c r="A184" s="77" t="s">
        <v>32</v>
      </c>
      <c r="B184" s="78"/>
      <c r="C184" s="71">
        <f>C185</f>
        <v>4758175.26</v>
      </c>
      <c r="D184" s="71">
        <f t="shared" ref="D184:W184" si="20">D185</f>
        <v>0</v>
      </c>
      <c r="E184" s="71">
        <f t="shared" si="20"/>
        <v>0</v>
      </c>
      <c r="F184" s="71">
        <f t="shared" si="20"/>
        <v>0</v>
      </c>
      <c r="G184" s="71">
        <f t="shared" si="20"/>
        <v>0</v>
      </c>
      <c r="H184" s="71">
        <f t="shared" si="20"/>
        <v>0</v>
      </c>
      <c r="I184" s="71">
        <f t="shared" si="20"/>
        <v>0</v>
      </c>
      <c r="J184" s="72">
        <f t="shared" si="20"/>
        <v>0</v>
      </c>
      <c r="K184" s="71">
        <f t="shared" si="20"/>
        <v>0</v>
      </c>
      <c r="L184" s="71">
        <f t="shared" si="20"/>
        <v>705.8</v>
      </c>
      <c r="M184" s="71">
        <f t="shared" si="20"/>
        <v>1553914.5649999999</v>
      </c>
      <c r="N184" s="71">
        <f>N185</f>
        <v>0</v>
      </c>
      <c r="O184" s="71">
        <f>O185</f>
        <v>0</v>
      </c>
      <c r="P184" s="71">
        <f t="shared" si="20"/>
        <v>824.2</v>
      </c>
      <c r="Q184" s="71">
        <f t="shared" si="20"/>
        <v>0</v>
      </c>
      <c r="R184" s="71">
        <f t="shared" si="20"/>
        <v>0</v>
      </c>
      <c r="S184" s="71">
        <f t="shared" si="20"/>
        <v>0</v>
      </c>
      <c r="T184" s="71">
        <f t="shared" si="20"/>
        <v>3204260.6949999998</v>
      </c>
      <c r="U184" s="71">
        <f t="shared" si="20"/>
        <v>0</v>
      </c>
      <c r="V184" s="71">
        <f t="shared" si="20"/>
        <v>0</v>
      </c>
      <c r="W184" s="73">
        <f t="shared" si="20"/>
        <v>0</v>
      </c>
      <c r="X184" s="16"/>
    </row>
    <row r="185" spans="1:24" ht="18.75" hidden="1" customHeight="1" thickBot="1">
      <c r="A185" s="40">
        <v>162</v>
      </c>
      <c r="B185" s="31" t="s">
        <v>143</v>
      </c>
      <c r="C185" s="32">
        <f>M185+T185+D185+K185+O185+Q185+S185+U185+W185</f>
        <v>4758175.26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5">
        <v>0</v>
      </c>
      <c r="K185" s="24">
        <v>0</v>
      </c>
      <c r="L185" s="32">
        <v>705.8</v>
      </c>
      <c r="M185" s="32">
        <f>91673.09/2+75561/2+1470297.52</f>
        <v>1553914.5649999999</v>
      </c>
      <c r="N185" s="24">
        <v>0</v>
      </c>
      <c r="O185" s="24">
        <v>0</v>
      </c>
      <c r="P185" s="24">
        <v>824.2</v>
      </c>
      <c r="Q185" s="24">
        <v>0</v>
      </c>
      <c r="R185" s="24">
        <v>0</v>
      </c>
      <c r="S185" s="24">
        <v>0</v>
      </c>
      <c r="T185" s="32">
        <f>91673.09/2+75561/2+3120643.65</f>
        <v>3204260.6949999998</v>
      </c>
      <c r="U185" s="24">
        <v>0</v>
      </c>
      <c r="V185" s="24">
        <v>0</v>
      </c>
      <c r="W185" s="51">
        <v>0</v>
      </c>
      <c r="X185" s="16"/>
    </row>
    <row r="186" spans="1:24" ht="18.75" hidden="1" customHeight="1" thickBot="1">
      <c r="A186" s="77" t="s">
        <v>6</v>
      </c>
      <c r="B186" s="78"/>
      <c r="C186" s="68">
        <f>SUM(C187:C195)</f>
        <v>8589246.8499999996</v>
      </c>
      <c r="D186" s="68">
        <f t="shared" ref="D186:W186" si="21">SUM(D187:D195)</f>
        <v>3860147.82</v>
      </c>
      <c r="E186" s="68">
        <f t="shared" si="21"/>
        <v>1773673.6033333333</v>
      </c>
      <c r="F186" s="68">
        <f t="shared" si="21"/>
        <v>1384266.4333333333</v>
      </c>
      <c r="G186" s="68">
        <f t="shared" si="21"/>
        <v>0</v>
      </c>
      <c r="H186" s="68">
        <f t="shared" si="21"/>
        <v>386506.59333333338</v>
      </c>
      <c r="I186" s="68">
        <f t="shared" si="21"/>
        <v>214977.94499999998</v>
      </c>
      <c r="J186" s="69">
        <f t="shared" si="21"/>
        <v>0</v>
      </c>
      <c r="K186" s="68">
        <f t="shared" si="21"/>
        <v>0</v>
      </c>
      <c r="L186" s="68">
        <f t="shared" si="21"/>
        <v>2991.8</v>
      </c>
      <c r="M186" s="68">
        <f t="shared" si="21"/>
        <v>4682392.88</v>
      </c>
      <c r="N186" s="68">
        <f>SUM(N187:N195)</f>
        <v>0</v>
      </c>
      <c r="O186" s="68">
        <f>SUM(O187:O195)</f>
        <v>0</v>
      </c>
      <c r="P186" s="68">
        <f t="shared" si="21"/>
        <v>0</v>
      </c>
      <c r="Q186" s="68">
        <f t="shared" si="21"/>
        <v>0</v>
      </c>
      <c r="R186" s="68">
        <f t="shared" si="21"/>
        <v>47.5</v>
      </c>
      <c r="S186" s="68">
        <f t="shared" si="21"/>
        <v>46706.15</v>
      </c>
      <c r="T186" s="68">
        <f t="shared" si="21"/>
        <v>0</v>
      </c>
      <c r="U186" s="68">
        <f t="shared" si="21"/>
        <v>0</v>
      </c>
      <c r="V186" s="68">
        <f t="shared" si="21"/>
        <v>100723.245</v>
      </c>
      <c r="W186" s="70">
        <f t="shared" si="21"/>
        <v>0</v>
      </c>
      <c r="X186" s="16"/>
    </row>
    <row r="187" spans="1:24" ht="18.75" hidden="1" customHeight="1">
      <c r="A187" s="37">
        <v>163</v>
      </c>
      <c r="B187" s="30" t="s">
        <v>180</v>
      </c>
      <c r="C187" s="27">
        <f>D187+K187+M187+O187+Q187+S187+T187</f>
        <v>230651.32</v>
      </c>
      <c r="D187" s="27">
        <f>E187+F187+G187+H187+I187+V187+O187</f>
        <v>230651.32</v>
      </c>
      <c r="E187" s="27">
        <v>230651.32</v>
      </c>
      <c r="F187" s="27">
        <v>0</v>
      </c>
      <c r="G187" s="27">
        <v>0</v>
      </c>
      <c r="H187" s="27">
        <v>0</v>
      </c>
      <c r="I187" s="27">
        <v>0</v>
      </c>
      <c r="J187" s="19">
        <v>0</v>
      </c>
      <c r="K187" s="18">
        <v>0</v>
      </c>
      <c r="L187" s="27">
        <v>0</v>
      </c>
      <c r="M187" s="27">
        <v>0</v>
      </c>
      <c r="N187" s="27">
        <v>0</v>
      </c>
      <c r="O187" s="27">
        <v>0</v>
      </c>
      <c r="P187" s="27">
        <v>0</v>
      </c>
      <c r="Q187" s="27">
        <v>0</v>
      </c>
      <c r="R187" s="27">
        <v>0</v>
      </c>
      <c r="S187" s="27">
        <v>0</v>
      </c>
      <c r="T187" s="27">
        <v>0</v>
      </c>
      <c r="U187" s="27">
        <v>0</v>
      </c>
      <c r="V187" s="27">
        <v>0</v>
      </c>
      <c r="W187" s="52">
        <v>0</v>
      </c>
      <c r="X187" s="16"/>
    </row>
    <row r="188" spans="1:24" ht="18.75" hidden="1" customHeight="1">
      <c r="A188" s="41">
        <v>164</v>
      </c>
      <c r="B188" s="10" t="s">
        <v>181</v>
      </c>
      <c r="C188" s="3">
        <f t="shared" ref="C188:C195" si="22">D188+K188+M188+O188+Q188+S188+T188</f>
        <v>258718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7">
        <v>0</v>
      </c>
      <c r="K188" s="4">
        <v>0</v>
      </c>
      <c r="L188" s="3">
        <v>773</v>
      </c>
      <c r="M188" s="3">
        <v>212011.85</v>
      </c>
      <c r="N188" s="3">
        <v>0</v>
      </c>
      <c r="O188" s="3">
        <v>0</v>
      </c>
      <c r="P188" s="3">
        <v>0</v>
      </c>
      <c r="Q188" s="3">
        <v>0</v>
      </c>
      <c r="R188" s="3">
        <v>47.5</v>
      </c>
      <c r="S188" s="3">
        <v>46706.15</v>
      </c>
      <c r="T188" s="5">
        <v>0</v>
      </c>
      <c r="U188" s="4">
        <v>0</v>
      </c>
      <c r="V188" s="4">
        <v>0</v>
      </c>
      <c r="W188" s="53">
        <v>0</v>
      </c>
      <c r="X188" s="16"/>
    </row>
    <row r="189" spans="1:24" ht="18.75" hidden="1" customHeight="1">
      <c r="A189" s="41">
        <v>165</v>
      </c>
      <c r="B189" s="10" t="s">
        <v>241</v>
      </c>
      <c r="C189" s="3">
        <f t="shared" si="22"/>
        <v>1185524.79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7">
        <v>0</v>
      </c>
      <c r="K189" s="4">
        <v>0</v>
      </c>
      <c r="L189" s="3">
        <v>387</v>
      </c>
      <c r="M189" s="3">
        <v>1185524.79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53">
        <v>0</v>
      </c>
      <c r="X189" s="16"/>
    </row>
    <row r="190" spans="1:24" ht="18.75" hidden="1" customHeight="1">
      <c r="A190" s="41">
        <v>166</v>
      </c>
      <c r="B190" s="10" t="s">
        <v>242</v>
      </c>
      <c r="C190" s="3">
        <f t="shared" si="22"/>
        <v>1142940.48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7">
        <v>0</v>
      </c>
      <c r="K190" s="4">
        <v>0</v>
      </c>
      <c r="L190" s="3">
        <v>380</v>
      </c>
      <c r="M190" s="3">
        <v>1142940.48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53">
        <v>0</v>
      </c>
      <c r="X190" s="16"/>
    </row>
    <row r="191" spans="1:24" ht="18.75" hidden="1" customHeight="1">
      <c r="A191" s="41">
        <v>167</v>
      </c>
      <c r="B191" s="10" t="s">
        <v>182</v>
      </c>
      <c r="C191" s="3">
        <f t="shared" si="22"/>
        <v>321838.52</v>
      </c>
      <c r="D191" s="3">
        <f>E191+F191+G191+H191+I191+V191</f>
        <v>321838.52</v>
      </c>
      <c r="E191" s="3">
        <f>4120.97/2+125148.86/2+153904.12</f>
        <v>218539.035</v>
      </c>
      <c r="F191" s="3">
        <v>0</v>
      </c>
      <c r="G191" s="3">
        <v>0</v>
      </c>
      <c r="H191" s="3">
        <f>4120.97/2+125148.86/2+38664.57</f>
        <v>103299.485</v>
      </c>
      <c r="I191" s="3">
        <v>0</v>
      </c>
      <c r="J191" s="7">
        <v>0</v>
      </c>
      <c r="K191" s="4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42">
        <v>0</v>
      </c>
      <c r="X191" s="16"/>
    </row>
    <row r="192" spans="1:24" ht="18.75" hidden="1" customHeight="1">
      <c r="A192" s="41">
        <v>168</v>
      </c>
      <c r="B192" s="10" t="s">
        <v>183</v>
      </c>
      <c r="C192" s="3">
        <f t="shared" si="22"/>
        <v>1863937.95</v>
      </c>
      <c r="D192" s="3">
        <f>E192+F192+G192+H192+I192+V192</f>
        <v>1863937.95</v>
      </c>
      <c r="E192" s="3">
        <f>33864.87/3+247602.52/3+659310.72</f>
        <v>753133.18333333335</v>
      </c>
      <c r="F192" s="3">
        <f>33864.87/3+247602.52/3+901270.95</f>
        <v>995093.41333333333</v>
      </c>
      <c r="G192" s="3">
        <v>0</v>
      </c>
      <c r="H192" s="3">
        <f>33864.87/3+247602.52/3+21888.89</f>
        <v>115711.35333333332</v>
      </c>
      <c r="I192" s="3">
        <v>0</v>
      </c>
      <c r="J192" s="7">
        <v>0</v>
      </c>
      <c r="K192" s="4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42">
        <v>0</v>
      </c>
      <c r="X192" s="16"/>
    </row>
    <row r="193" spans="1:24" ht="18.75" hidden="1" customHeight="1">
      <c r="A193" s="41">
        <v>169</v>
      </c>
      <c r="B193" s="10" t="s">
        <v>184</v>
      </c>
      <c r="C193" s="3">
        <f t="shared" si="22"/>
        <v>532163.05000000005</v>
      </c>
      <c r="D193" s="3">
        <f>E193+F193+G193+H193+I193+V193</f>
        <v>532163.05000000005</v>
      </c>
      <c r="E193" s="3">
        <f>10044.14/4+52767/4+323315.1</f>
        <v>339017.88499999995</v>
      </c>
      <c r="F193" s="3">
        <v>0</v>
      </c>
      <c r="G193" s="3">
        <v>0</v>
      </c>
      <c r="H193" s="3">
        <f>10044.14/4+52767/4+53518.81</f>
        <v>69221.595000000001</v>
      </c>
      <c r="I193" s="3">
        <f>10044.14/4+52767/4+63767.24</f>
        <v>79470.024999999994</v>
      </c>
      <c r="J193" s="7">
        <v>0</v>
      </c>
      <c r="K193" s="4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f>10044.14/4+52767/4+28750.76</f>
        <v>44453.544999999998</v>
      </c>
      <c r="W193" s="42">
        <v>0</v>
      </c>
      <c r="X193" s="16"/>
    </row>
    <row r="194" spans="1:24" ht="18.75" hidden="1" customHeight="1">
      <c r="A194" s="41">
        <v>170</v>
      </c>
      <c r="B194" s="10" t="s">
        <v>185</v>
      </c>
      <c r="C194" s="3">
        <f t="shared" si="22"/>
        <v>911556.98</v>
      </c>
      <c r="D194" s="3">
        <f>E194+F194+G194+H194+I194+V194</f>
        <v>911556.98</v>
      </c>
      <c r="E194" s="3">
        <f>15999.62/5+147911.48/5+199549.96</f>
        <v>232332.18</v>
      </c>
      <c r="F194" s="3">
        <f>15999.62/5+147911.48/5+356390.8</f>
        <v>389173.02</v>
      </c>
      <c r="G194" s="3">
        <v>0</v>
      </c>
      <c r="H194" s="3">
        <f>15999.62/5+147911.48/5+65491.94</f>
        <v>98274.16</v>
      </c>
      <c r="I194" s="3">
        <f>15999.62/5+147911.48/5+102725.7</f>
        <v>135507.91999999998</v>
      </c>
      <c r="J194" s="7">
        <v>0</v>
      </c>
      <c r="K194" s="4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f>15999.62/5+147911.48/5+23487.48</f>
        <v>56269.7</v>
      </c>
      <c r="W194" s="42">
        <v>0</v>
      </c>
      <c r="X194" s="16"/>
    </row>
    <row r="195" spans="1:24" ht="18.75" hidden="1" customHeight="1" thickBot="1">
      <c r="A195" s="39">
        <v>171</v>
      </c>
      <c r="B195" s="28" t="s">
        <v>186</v>
      </c>
      <c r="C195" s="29">
        <f t="shared" si="22"/>
        <v>2141915.7599999998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2">
        <v>0</v>
      </c>
      <c r="K195" s="21">
        <v>0</v>
      </c>
      <c r="L195" s="29">
        <f>781.6+670.2</f>
        <v>1451.8000000000002</v>
      </c>
      <c r="M195" s="29">
        <v>2141915.7599999998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50">
        <v>0</v>
      </c>
      <c r="X195" s="16"/>
    </row>
    <row r="196" spans="1:24" ht="18.75" hidden="1" customHeight="1" thickBot="1">
      <c r="A196" s="77" t="s">
        <v>21</v>
      </c>
      <c r="B196" s="78"/>
      <c r="C196" s="68">
        <f>SUM(C197:C200)</f>
        <v>11237077.600000001</v>
      </c>
      <c r="D196" s="68">
        <f t="shared" ref="D196:W196" si="23">SUM(D197:D200)</f>
        <v>8048505.8600000003</v>
      </c>
      <c r="E196" s="68">
        <f t="shared" si="23"/>
        <v>1483081.3143333332</v>
      </c>
      <c r="F196" s="68">
        <f t="shared" si="23"/>
        <v>3570908.344333333</v>
      </c>
      <c r="G196" s="68">
        <f t="shared" si="23"/>
        <v>0</v>
      </c>
      <c r="H196" s="68">
        <f t="shared" si="23"/>
        <v>1262537.3443333334</v>
      </c>
      <c r="I196" s="68">
        <f t="shared" si="23"/>
        <v>669228.00433333335</v>
      </c>
      <c r="J196" s="69">
        <f t="shared" si="23"/>
        <v>0</v>
      </c>
      <c r="K196" s="68">
        <f t="shared" si="23"/>
        <v>0</v>
      </c>
      <c r="L196" s="68">
        <f t="shared" si="23"/>
        <v>1292</v>
      </c>
      <c r="M196" s="68">
        <f t="shared" si="23"/>
        <v>3188571.74</v>
      </c>
      <c r="N196" s="68">
        <f t="shared" si="23"/>
        <v>278</v>
      </c>
      <c r="O196" s="68">
        <f t="shared" si="23"/>
        <v>534202.28833333333</v>
      </c>
      <c r="P196" s="68">
        <f t="shared" si="23"/>
        <v>0</v>
      </c>
      <c r="Q196" s="68">
        <f t="shared" si="23"/>
        <v>0</v>
      </c>
      <c r="R196" s="68">
        <f t="shared" si="23"/>
        <v>0</v>
      </c>
      <c r="S196" s="68">
        <f t="shared" si="23"/>
        <v>0</v>
      </c>
      <c r="T196" s="68">
        <f t="shared" si="23"/>
        <v>0</v>
      </c>
      <c r="U196" s="68">
        <f t="shared" si="23"/>
        <v>0</v>
      </c>
      <c r="V196" s="68">
        <f t="shared" si="23"/>
        <v>528548.56433333328</v>
      </c>
      <c r="W196" s="70">
        <f t="shared" si="23"/>
        <v>0</v>
      </c>
      <c r="X196" s="16"/>
    </row>
    <row r="197" spans="1:24" ht="18.75" hidden="1" customHeight="1">
      <c r="A197" s="37">
        <v>172</v>
      </c>
      <c r="B197" s="30" t="s">
        <v>243</v>
      </c>
      <c r="C197" s="27">
        <f>D197+K197+M197+O197+Q197+S197+T197+U197</f>
        <v>1690248.19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9">
        <v>0</v>
      </c>
      <c r="K197" s="18">
        <v>0</v>
      </c>
      <c r="L197" s="27">
        <v>670</v>
      </c>
      <c r="M197" s="27">
        <v>1690248.19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49">
        <v>0</v>
      </c>
      <c r="X197" s="16"/>
    </row>
    <row r="198" spans="1:24" ht="18.75" hidden="1" customHeight="1">
      <c r="A198" s="41">
        <v>173</v>
      </c>
      <c r="B198" s="10" t="s">
        <v>144</v>
      </c>
      <c r="C198" s="3">
        <f>D198+K198+M198+O198+Q198+S198+T198+U198</f>
        <v>1498323.55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7">
        <v>0</v>
      </c>
      <c r="K198" s="4">
        <v>0</v>
      </c>
      <c r="L198" s="3">
        <v>622</v>
      </c>
      <c r="M198" s="3">
        <v>1498323.55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53">
        <v>0</v>
      </c>
      <c r="X198" s="16"/>
    </row>
    <row r="199" spans="1:24" ht="18.75" hidden="1" customHeight="1">
      <c r="A199" s="41">
        <v>174</v>
      </c>
      <c r="B199" s="10" t="s">
        <v>145</v>
      </c>
      <c r="C199" s="3">
        <f>D199+K199+M199+Q199+S199+T199+U199</f>
        <v>3200906.2800000003</v>
      </c>
      <c r="D199" s="3">
        <f>E199+F199+G199+H199+I199+O199+V199</f>
        <v>3200906.2800000003</v>
      </c>
      <c r="E199" s="3">
        <f>64552.83/5+119866/5+608703.65</f>
        <v>645587.41599999997</v>
      </c>
      <c r="F199" s="3">
        <f>64552.83/5+119866/5+1940496.88</f>
        <v>1977380.6459999999</v>
      </c>
      <c r="G199" s="3">
        <v>0</v>
      </c>
      <c r="H199" s="3">
        <f>64552.83/5+119866/5+215974.17</f>
        <v>252857.93600000002</v>
      </c>
      <c r="I199" s="3">
        <f>64552.83/5+119866/5+227353.1</f>
        <v>264236.86600000004</v>
      </c>
      <c r="J199" s="7">
        <v>0</v>
      </c>
      <c r="K199" s="4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f>64552.83/5+119866/5+23959.65</f>
        <v>60843.416000000005</v>
      </c>
      <c r="W199" s="42">
        <v>0</v>
      </c>
      <c r="X199" s="16"/>
    </row>
    <row r="200" spans="1:24" ht="18.75" hidden="1" customHeight="1" thickBot="1">
      <c r="A200" s="39">
        <v>175</v>
      </c>
      <c r="B200" s="28" t="s">
        <v>146</v>
      </c>
      <c r="C200" s="29">
        <f>D200+K200+M200+Q200+S200+T200+U200</f>
        <v>4847599.58</v>
      </c>
      <c r="D200" s="29">
        <f>E200+F200+G200+H200+I200+O200+V200</f>
        <v>4847599.58</v>
      </c>
      <c r="E200" s="29">
        <f>95378.11/6+295300/6+772380.88</f>
        <v>837493.89833333332</v>
      </c>
      <c r="F200" s="29">
        <f>95378.11/6+295300/6+1528414.68</f>
        <v>1593527.6983333332</v>
      </c>
      <c r="G200" s="29">
        <v>0</v>
      </c>
      <c r="H200" s="29">
        <f>95378.11/6+295300/6+270155.61+674410.78</f>
        <v>1009679.4083333333</v>
      </c>
      <c r="I200" s="29">
        <f>95378.11/6+295300/6+339878.12</f>
        <v>404991.13833333331</v>
      </c>
      <c r="J200" s="22">
        <v>0</v>
      </c>
      <c r="K200" s="21">
        <v>0</v>
      </c>
      <c r="L200" s="29">
        <v>0</v>
      </c>
      <c r="M200" s="29">
        <v>0</v>
      </c>
      <c r="N200" s="29">
        <v>278</v>
      </c>
      <c r="O200" s="29">
        <f>95378.11/6+295300/6+469089.27</f>
        <v>534202.28833333333</v>
      </c>
      <c r="P200" s="29">
        <v>0</v>
      </c>
      <c r="Q200" s="29">
        <v>0</v>
      </c>
      <c r="R200" s="29">
        <v>0</v>
      </c>
      <c r="S200" s="29">
        <v>0</v>
      </c>
      <c r="T200" s="29">
        <v>0</v>
      </c>
      <c r="U200" s="29">
        <v>0</v>
      </c>
      <c r="V200" s="29">
        <f>95378.11/6+295300/6+27284.55+74456.04+300851.54</f>
        <v>467705.14833333332</v>
      </c>
      <c r="W200" s="43">
        <v>0</v>
      </c>
      <c r="X200" s="16"/>
    </row>
    <row r="201" spans="1:24" ht="18.75" hidden="1" customHeight="1" thickBot="1">
      <c r="A201" s="77" t="s">
        <v>33</v>
      </c>
      <c r="B201" s="78"/>
      <c r="C201" s="71">
        <f>C202</f>
        <v>3186819.25</v>
      </c>
      <c r="D201" s="71">
        <f t="shared" ref="D201:W201" si="24">D202</f>
        <v>0</v>
      </c>
      <c r="E201" s="71">
        <f t="shared" si="24"/>
        <v>0</v>
      </c>
      <c r="F201" s="71">
        <f t="shared" si="24"/>
        <v>0</v>
      </c>
      <c r="G201" s="71">
        <f t="shared" si="24"/>
        <v>0</v>
      </c>
      <c r="H201" s="71">
        <f t="shared" si="24"/>
        <v>0</v>
      </c>
      <c r="I201" s="71">
        <f t="shared" si="24"/>
        <v>0</v>
      </c>
      <c r="J201" s="72">
        <f t="shared" si="24"/>
        <v>0</v>
      </c>
      <c r="K201" s="71">
        <f t="shared" si="24"/>
        <v>0</v>
      </c>
      <c r="L201" s="71">
        <f t="shared" si="24"/>
        <v>0</v>
      </c>
      <c r="M201" s="71">
        <f t="shared" si="24"/>
        <v>0</v>
      </c>
      <c r="N201" s="71">
        <f>N202</f>
        <v>0</v>
      </c>
      <c r="O201" s="71">
        <f>O202</f>
        <v>0</v>
      </c>
      <c r="P201" s="71">
        <f t="shared" si="24"/>
        <v>843</v>
      </c>
      <c r="Q201" s="71">
        <f t="shared" si="24"/>
        <v>0</v>
      </c>
      <c r="R201" s="71">
        <f t="shared" si="24"/>
        <v>0</v>
      </c>
      <c r="S201" s="71">
        <f t="shared" si="24"/>
        <v>0</v>
      </c>
      <c r="T201" s="71">
        <f t="shared" si="24"/>
        <v>3186819.25</v>
      </c>
      <c r="U201" s="71">
        <f t="shared" si="24"/>
        <v>0</v>
      </c>
      <c r="V201" s="71">
        <f t="shared" si="24"/>
        <v>0</v>
      </c>
      <c r="W201" s="73">
        <f t="shared" si="24"/>
        <v>0</v>
      </c>
      <c r="X201" s="16"/>
    </row>
    <row r="202" spans="1:24" ht="18.75" hidden="1" customHeight="1" thickBot="1">
      <c r="A202" s="40">
        <v>176</v>
      </c>
      <c r="B202" s="31" t="s">
        <v>147</v>
      </c>
      <c r="C202" s="32">
        <f>T202+D202+K202+M202+O202+Q202+S202+U202+W202</f>
        <v>3186819.25</v>
      </c>
      <c r="D202" s="24">
        <v>0</v>
      </c>
      <c r="E202" s="24">
        <v>0</v>
      </c>
      <c r="F202" s="24">
        <v>0</v>
      </c>
      <c r="G202" s="24">
        <v>0</v>
      </c>
      <c r="H202" s="24">
        <v>0</v>
      </c>
      <c r="I202" s="24">
        <v>0</v>
      </c>
      <c r="J202" s="25">
        <v>0</v>
      </c>
      <c r="K202" s="24">
        <v>0</v>
      </c>
      <c r="L202" s="32">
        <v>0</v>
      </c>
      <c r="M202" s="32">
        <v>0</v>
      </c>
      <c r="N202" s="24">
        <v>0</v>
      </c>
      <c r="O202" s="24">
        <v>0</v>
      </c>
      <c r="P202" s="24">
        <v>843</v>
      </c>
      <c r="Q202" s="24">
        <v>0</v>
      </c>
      <c r="R202" s="24">
        <v>0</v>
      </c>
      <c r="S202" s="24">
        <v>0</v>
      </c>
      <c r="T202" s="34">
        <v>3186819.25</v>
      </c>
      <c r="U202" s="24">
        <v>0</v>
      </c>
      <c r="V202" s="24">
        <v>0</v>
      </c>
      <c r="W202" s="51">
        <v>0</v>
      </c>
      <c r="X202" s="16"/>
    </row>
    <row r="203" spans="1:24" ht="18.75" hidden="1" customHeight="1" thickBot="1">
      <c r="A203" s="77" t="s">
        <v>34</v>
      </c>
      <c r="B203" s="78"/>
      <c r="C203" s="71">
        <f>SUM(C204:C207)</f>
        <v>3772776.99</v>
      </c>
      <c r="D203" s="71">
        <f t="shared" ref="D203:W203" si="25">SUM(D204:D207)</f>
        <v>0</v>
      </c>
      <c r="E203" s="71">
        <f t="shared" si="25"/>
        <v>0</v>
      </c>
      <c r="F203" s="71">
        <f t="shared" si="25"/>
        <v>0</v>
      </c>
      <c r="G203" s="71">
        <f t="shared" si="25"/>
        <v>0</v>
      </c>
      <c r="H203" s="71">
        <f t="shared" si="25"/>
        <v>0</v>
      </c>
      <c r="I203" s="71">
        <f t="shared" si="25"/>
        <v>0</v>
      </c>
      <c r="J203" s="72">
        <f t="shared" si="25"/>
        <v>0</v>
      </c>
      <c r="K203" s="71">
        <f t="shared" si="25"/>
        <v>0</v>
      </c>
      <c r="L203" s="71">
        <f t="shared" si="25"/>
        <v>1952.9299999999998</v>
      </c>
      <c r="M203" s="71">
        <f t="shared" si="25"/>
        <v>3772776.99</v>
      </c>
      <c r="N203" s="71">
        <f>SUM(N204:N207)</f>
        <v>0</v>
      </c>
      <c r="O203" s="71">
        <f>SUM(O204:O207)</f>
        <v>0</v>
      </c>
      <c r="P203" s="71">
        <f t="shared" si="25"/>
        <v>0</v>
      </c>
      <c r="Q203" s="71">
        <f t="shared" si="25"/>
        <v>0</v>
      </c>
      <c r="R203" s="71">
        <f t="shared" si="25"/>
        <v>0</v>
      </c>
      <c r="S203" s="71">
        <f t="shared" si="25"/>
        <v>0</v>
      </c>
      <c r="T203" s="71">
        <f t="shared" si="25"/>
        <v>0</v>
      </c>
      <c r="U203" s="71">
        <f t="shared" si="25"/>
        <v>0</v>
      </c>
      <c r="V203" s="71">
        <f t="shared" si="25"/>
        <v>0</v>
      </c>
      <c r="W203" s="73">
        <f t="shared" si="25"/>
        <v>0</v>
      </c>
      <c r="X203" s="16"/>
    </row>
    <row r="204" spans="1:24" ht="18.75" hidden="1" customHeight="1">
      <c r="A204" s="37">
        <v>177</v>
      </c>
      <c r="B204" s="30" t="s">
        <v>176</v>
      </c>
      <c r="C204" s="27">
        <f>M204+D204+K204+O204+Q204+S204+T204+U204+W204</f>
        <v>871366.35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9">
        <v>0</v>
      </c>
      <c r="K204" s="18">
        <v>0</v>
      </c>
      <c r="L204" s="27">
        <v>339</v>
      </c>
      <c r="M204" s="27">
        <v>871366.35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49">
        <v>0</v>
      </c>
      <c r="X204" s="16"/>
    </row>
    <row r="205" spans="1:24" ht="18.75" hidden="1" customHeight="1">
      <c r="A205" s="41">
        <v>178</v>
      </c>
      <c r="B205" s="10" t="s">
        <v>177</v>
      </c>
      <c r="C205" s="3">
        <f>M205+D205+K205+O205+Q205+S205+T205+U205+W205</f>
        <v>1211777.79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7">
        <v>0</v>
      </c>
      <c r="K205" s="4">
        <v>0</v>
      </c>
      <c r="L205" s="3">
        <v>606</v>
      </c>
      <c r="M205" s="3">
        <v>1211777.79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53">
        <v>0</v>
      </c>
      <c r="X205" s="16"/>
    </row>
    <row r="206" spans="1:24" ht="18.75" hidden="1" customHeight="1">
      <c r="A206" s="41">
        <v>179</v>
      </c>
      <c r="B206" s="10" t="s">
        <v>178</v>
      </c>
      <c r="C206" s="3">
        <f>M206+D206+K206+O206+Q206+S206+T206+U206+W206</f>
        <v>1033967.66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7">
        <v>0</v>
      </c>
      <c r="K206" s="4">
        <v>0</v>
      </c>
      <c r="L206" s="3">
        <v>719.93</v>
      </c>
      <c r="M206" s="3">
        <v>1033967.66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53">
        <v>0</v>
      </c>
      <c r="X206" s="16"/>
    </row>
    <row r="207" spans="1:24" ht="18.75" hidden="1" customHeight="1" thickBot="1">
      <c r="A207" s="39">
        <v>180</v>
      </c>
      <c r="B207" s="28" t="s">
        <v>179</v>
      </c>
      <c r="C207" s="29">
        <f>M207+D207+K207+O207+Q207+S207+T207+U207+W207</f>
        <v>655665.18999999994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2">
        <v>0</v>
      </c>
      <c r="K207" s="21">
        <v>0</v>
      </c>
      <c r="L207" s="29">
        <v>288</v>
      </c>
      <c r="M207" s="29">
        <v>655665.18999999994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50">
        <v>0</v>
      </c>
      <c r="X207" s="16"/>
    </row>
    <row r="208" spans="1:24" ht="18.75" hidden="1" customHeight="1" thickBot="1">
      <c r="A208" s="77" t="s">
        <v>42</v>
      </c>
      <c r="B208" s="78"/>
      <c r="C208" s="68">
        <f>SUM(C209:C226)</f>
        <v>40142489.589999996</v>
      </c>
      <c r="D208" s="68">
        <f t="shared" ref="D208:W208" si="26">SUM(D209:D226)</f>
        <v>12169678.094999999</v>
      </c>
      <c r="E208" s="68">
        <f t="shared" si="26"/>
        <v>2842614.6001666663</v>
      </c>
      <c r="F208" s="68">
        <f t="shared" si="26"/>
        <v>4953689.2101666667</v>
      </c>
      <c r="G208" s="68">
        <f t="shared" si="26"/>
        <v>0</v>
      </c>
      <c r="H208" s="68">
        <f t="shared" si="26"/>
        <v>1730909.7301666667</v>
      </c>
      <c r="I208" s="68">
        <f t="shared" si="26"/>
        <v>616018.98266666662</v>
      </c>
      <c r="J208" s="69">
        <f t="shared" si="26"/>
        <v>7</v>
      </c>
      <c r="K208" s="68">
        <f t="shared" si="26"/>
        <v>9621868.6899999995</v>
      </c>
      <c r="L208" s="68">
        <f t="shared" si="26"/>
        <v>5003</v>
      </c>
      <c r="M208" s="68">
        <f t="shared" si="26"/>
        <v>11947173.015000001</v>
      </c>
      <c r="N208" s="68">
        <f>SUM(N209:N226)</f>
        <v>984.3</v>
      </c>
      <c r="O208" s="68">
        <f>SUM(O209:O226)</f>
        <v>313458.8016666667</v>
      </c>
      <c r="P208" s="68">
        <f t="shared" si="26"/>
        <v>1522.03</v>
      </c>
      <c r="Q208" s="68">
        <f t="shared" si="26"/>
        <v>0</v>
      </c>
      <c r="R208" s="68">
        <f t="shared" si="26"/>
        <v>0</v>
      </c>
      <c r="S208" s="68">
        <f t="shared" si="26"/>
        <v>0</v>
      </c>
      <c r="T208" s="68">
        <f t="shared" si="26"/>
        <v>6403769.79</v>
      </c>
      <c r="U208" s="68">
        <f t="shared" si="26"/>
        <v>0</v>
      </c>
      <c r="V208" s="68">
        <f t="shared" si="26"/>
        <v>1712986.7701666667</v>
      </c>
      <c r="W208" s="70">
        <f t="shared" si="26"/>
        <v>0</v>
      </c>
      <c r="X208" s="16"/>
    </row>
    <row r="209" spans="1:24" ht="18.75" hidden="1" customHeight="1">
      <c r="A209" s="37">
        <v>181</v>
      </c>
      <c r="B209" s="30" t="s">
        <v>244</v>
      </c>
      <c r="C209" s="27">
        <f>D209+K209+M209+O209+Q209+S209+T209+U209</f>
        <v>1410135.18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9">
        <v>0</v>
      </c>
      <c r="K209" s="18">
        <v>0</v>
      </c>
      <c r="L209" s="27">
        <v>414</v>
      </c>
      <c r="M209" s="27">
        <v>1410135.18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49">
        <v>0</v>
      </c>
      <c r="X209" s="16"/>
    </row>
    <row r="210" spans="1:24" ht="18.75" hidden="1" customHeight="1">
      <c r="A210" s="41">
        <v>182</v>
      </c>
      <c r="B210" s="10" t="s">
        <v>148</v>
      </c>
      <c r="C210" s="3">
        <f t="shared" ref="C210:C226" si="27">D210+K210+M210+Q210+S210+T210+U210</f>
        <v>1117845.46</v>
      </c>
      <c r="D210" s="3">
        <f>E210+F210+G210+H210+I210+V210+O210</f>
        <v>1117845.46</v>
      </c>
      <c r="E210" s="3">
        <f>20044.44/5+161145/5+385825.71</f>
        <v>422063.598</v>
      </c>
      <c r="F210" s="3">
        <f>20044.44/5+161145/5+497726.65</f>
        <v>533964.53800000006</v>
      </c>
      <c r="G210" s="3">
        <v>0</v>
      </c>
      <c r="H210" s="3">
        <f>20044.44/5+161145/5+13337.32</f>
        <v>49575.207999999999</v>
      </c>
      <c r="I210" s="3">
        <f>20044.44/5+161145/5+38227.96</f>
        <v>74465.847999999998</v>
      </c>
      <c r="J210" s="7">
        <v>0</v>
      </c>
      <c r="K210" s="4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f>20044.44/5+161145/5+1538.38</f>
        <v>37776.267999999996</v>
      </c>
      <c r="W210" s="42">
        <v>0</v>
      </c>
      <c r="X210" s="16"/>
    </row>
    <row r="211" spans="1:24" ht="18.75" hidden="1" customHeight="1">
      <c r="A211" s="41">
        <v>183</v>
      </c>
      <c r="B211" s="9" t="s">
        <v>149</v>
      </c>
      <c r="C211" s="12">
        <f t="shared" si="27"/>
        <v>4821580.1399999997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13">
        <v>3</v>
      </c>
      <c r="K211" s="12">
        <v>4821580.1399999997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42">
        <v>0</v>
      </c>
      <c r="X211" s="16"/>
    </row>
    <row r="212" spans="1:24" ht="18.75" hidden="1" customHeight="1">
      <c r="A212" s="41">
        <v>184</v>
      </c>
      <c r="B212" s="10" t="s">
        <v>150</v>
      </c>
      <c r="C212" s="3">
        <f t="shared" si="27"/>
        <v>3586898.5200000005</v>
      </c>
      <c r="D212" s="3">
        <f>E212+F212+G212+H212+I212+V212+O212</f>
        <v>3586898.5200000005</v>
      </c>
      <c r="E212" s="3">
        <f>69690.95/4+260621.1/4+528502.08</f>
        <v>611080.09249999991</v>
      </c>
      <c r="F212" s="3">
        <f>69690.95/4+260621.1/4+1528386.52</f>
        <v>1610964.5325</v>
      </c>
      <c r="G212" s="3">
        <v>0</v>
      </c>
      <c r="H212" s="3">
        <f>69690.95/4+260621.1/4+123479.73+458858.6</f>
        <v>664916.34250000003</v>
      </c>
      <c r="I212" s="3">
        <v>0</v>
      </c>
      <c r="J212" s="7">
        <v>0</v>
      </c>
      <c r="K212" s="4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f>69690.95/4+260621.1/4+39110.23+30444.84+346238.72+201565.75</f>
        <v>699937.55249999999</v>
      </c>
      <c r="W212" s="42">
        <v>0</v>
      </c>
      <c r="X212" s="16"/>
    </row>
    <row r="213" spans="1:24" ht="18.75" hidden="1" customHeight="1">
      <c r="A213" s="41">
        <v>185</v>
      </c>
      <c r="B213" s="10" t="s">
        <v>151</v>
      </c>
      <c r="C213" s="3">
        <f t="shared" si="27"/>
        <v>370113.78999999992</v>
      </c>
      <c r="D213" s="3">
        <f>E213+F213+G213+H213+I213+V213+O213</f>
        <v>370113.78999999992</v>
      </c>
      <c r="E213" s="3">
        <f>5007.31/3+131120/3+180904.56</f>
        <v>226280.33</v>
      </c>
      <c r="F213" s="3">
        <v>0</v>
      </c>
      <c r="G213" s="3">
        <v>0</v>
      </c>
      <c r="H213" s="3">
        <f>5007.31/3+131120/3+27064.97</f>
        <v>72440.739999999991</v>
      </c>
      <c r="I213" s="3">
        <v>0</v>
      </c>
      <c r="J213" s="7">
        <v>0</v>
      </c>
      <c r="K213" s="4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f>5007.31/3+131120/3+26016.95</f>
        <v>71392.72</v>
      </c>
      <c r="W213" s="42">
        <v>0</v>
      </c>
      <c r="X213" s="16"/>
    </row>
    <row r="214" spans="1:24" ht="18.75" hidden="1" customHeight="1">
      <c r="A214" s="41">
        <v>186</v>
      </c>
      <c r="B214" s="10" t="s">
        <v>152</v>
      </c>
      <c r="C214" s="3">
        <f t="shared" si="27"/>
        <v>1556537.17</v>
      </c>
      <c r="D214" s="3">
        <f>E214+F214+G214+H214+I214+V214+O214</f>
        <v>525221.005</v>
      </c>
      <c r="E214" s="12">
        <f>(29250.15/2+160458/2)/5+79987.75</f>
        <v>98958.565000000002</v>
      </c>
      <c r="F214" s="12">
        <f>(29250.15/2+160458/2)/5+113732.9</f>
        <v>132703.715</v>
      </c>
      <c r="G214" s="3">
        <v>0</v>
      </c>
      <c r="H214" s="12">
        <f>(29250.15/2+160458/2)/5+6266.71</f>
        <v>25237.524999999998</v>
      </c>
      <c r="I214" s="12">
        <v>0</v>
      </c>
      <c r="J214" s="7">
        <v>0</v>
      </c>
      <c r="K214" s="4">
        <v>0</v>
      </c>
      <c r="L214" s="12">
        <v>350.7</v>
      </c>
      <c r="M214" s="12">
        <f>29250.15/2+160458/2+936462.09</f>
        <v>1031316.1649999999</v>
      </c>
      <c r="N214" s="4">
        <v>128</v>
      </c>
      <c r="O214" s="12">
        <f>(29250.15/2+160458/2)/5+29978.19</f>
        <v>48949.004999999997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12">
        <f>(29250.15/2+160458/2)/5+21632.63+178768.75</f>
        <v>219372.19500000001</v>
      </c>
      <c r="W214" s="53">
        <v>0</v>
      </c>
      <c r="X214" s="16"/>
    </row>
    <row r="215" spans="1:24" ht="18.75" hidden="1" customHeight="1">
      <c r="A215" s="41">
        <v>187</v>
      </c>
      <c r="B215" s="10" t="s">
        <v>153</v>
      </c>
      <c r="C215" s="3">
        <f t="shared" si="27"/>
        <v>2794856.21</v>
      </c>
      <c r="D215" s="3">
        <f>E215+F215+G215+H215+I215+V215+O215</f>
        <v>1243523.18</v>
      </c>
      <c r="E215" s="12">
        <f>(54164.8/2+209626/2)/5+238317.6</f>
        <v>264696.68</v>
      </c>
      <c r="F215" s="12">
        <f>(54164.8/2+209626/2)/5+563492.54</f>
        <v>589871.62</v>
      </c>
      <c r="G215" s="3">
        <v>0</v>
      </c>
      <c r="H215" s="12">
        <f>(54164.8/2+209626/2)/5+18309.15</f>
        <v>44688.229999999996</v>
      </c>
      <c r="I215" s="12">
        <f>(54164.8/2+209626/2)/5+123180.39</f>
        <v>149559.47</v>
      </c>
      <c r="J215" s="7">
        <v>0</v>
      </c>
      <c r="K215" s="4">
        <v>0</v>
      </c>
      <c r="L215" s="12">
        <v>575.29999999999995</v>
      </c>
      <c r="M215" s="12">
        <f>54164.8/2+209626/2+1419437.63</f>
        <v>1551333.0299999998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12">
        <f>(54164.8/2+209626/2)/5+168328.1</f>
        <v>194707.18</v>
      </c>
      <c r="W215" s="53">
        <v>0</v>
      </c>
      <c r="X215" s="16"/>
    </row>
    <row r="216" spans="1:24" ht="18.75" hidden="1" customHeight="1">
      <c r="A216" s="41">
        <v>188</v>
      </c>
      <c r="B216" s="10" t="s">
        <v>154</v>
      </c>
      <c r="C216" s="3">
        <f t="shared" si="27"/>
        <v>1558168.75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7">
        <v>0</v>
      </c>
      <c r="K216" s="4">
        <v>0</v>
      </c>
      <c r="L216" s="3">
        <v>0</v>
      </c>
      <c r="M216" s="3">
        <v>0</v>
      </c>
      <c r="N216" s="4">
        <v>0</v>
      </c>
      <c r="O216" s="4">
        <v>0</v>
      </c>
      <c r="P216" s="4">
        <v>392.4</v>
      </c>
      <c r="Q216" s="4">
        <v>0</v>
      </c>
      <c r="R216" s="4">
        <v>0</v>
      </c>
      <c r="S216" s="4">
        <v>0</v>
      </c>
      <c r="T216" s="5">
        <v>1558168.75</v>
      </c>
      <c r="U216" s="4">
        <v>0</v>
      </c>
      <c r="V216" s="4">
        <v>0</v>
      </c>
      <c r="W216" s="53">
        <v>0</v>
      </c>
      <c r="X216" s="16"/>
    </row>
    <row r="217" spans="1:24" ht="18.75" hidden="1" customHeight="1">
      <c r="A217" s="41">
        <v>189</v>
      </c>
      <c r="B217" s="10" t="s">
        <v>155</v>
      </c>
      <c r="C217" s="3">
        <f t="shared" si="27"/>
        <v>571693.6</v>
      </c>
      <c r="D217" s="3">
        <f>E217+F217+G217+H217+I217+V217+O217</f>
        <v>571693.6</v>
      </c>
      <c r="E217" s="3">
        <f>(10113.63+88980.61)/5+198056.56</f>
        <v>217875.408</v>
      </c>
      <c r="F217" s="3">
        <f>(10113.63+88980.61)/5+157236.11</f>
        <v>177054.95799999998</v>
      </c>
      <c r="G217" s="3">
        <v>0</v>
      </c>
      <c r="H217" s="3">
        <f>(10113.63+88980.61)/5+59202.81</f>
        <v>79021.657999999996</v>
      </c>
      <c r="I217" s="3">
        <f>(10113.63+88980.61)/5+36260.86</f>
        <v>56079.707999999999</v>
      </c>
      <c r="J217" s="7">
        <v>0</v>
      </c>
      <c r="K217" s="4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f>(10113.63+88980.61)/5+21843.02</f>
        <v>41661.868000000002</v>
      </c>
      <c r="W217" s="42">
        <v>0</v>
      </c>
      <c r="X217" s="16"/>
    </row>
    <row r="218" spans="1:24" ht="18.75" hidden="1" customHeight="1">
      <c r="A218" s="41">
        <v>190</v>
      </c>
      <c r="B218" s="10" t="s">
        <v>156</v>
      </c>
      <c r="C218" s="3">
        <f t="shared" si="27"/>
        <v>1922062.28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7">
        <v>0</v>
      </c>
      <c r="K218" s="4">
        <v>0</v>
      </c>
      <c r="L218" s="3">
        <v>1229.9000000000001</v>
      </c>
      <c r="M218" s="3">
        <v>1922062.28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53">
        <v>0</v>
      </c>
      <c r="X218" s="16"/>
    </row>
    <row r="219" spans="1:24" ht="18.75" hidden="1" customHeight="1">
      <c r="A219" s="41">
        <v>191</v>
      </c>
      <c r="B219" s="10" t="s">
        <v>157</v>
      </c>
      <c r="C219" s="3">
        <f t="shared" si="27"/>
        <v>2243821.9500000002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7">
        <v>0</v>
      </c>
      <c r="K219" s="4">
        <v>0</v>
      </c>
      <c r="L219" s="3">
        <v>0</v>
      </c>
      <c r="M219" s="3">
        <v>0</v>
      </c>
      <c r="N219" s="4">
        <v>0</v>
      </c>
      <c r="O219" s="4">
        <v>0</v>
      </c>
      <c r="P219" s="4">
        <v>576.1</v>
      </c>
      <c r="Q219" s="4">
        <v>0</v>
      </c>
      <c r="R219" s="4">
        <v>0</v>
      </c>
      <c r="S219" s="4">
        <v>0</v>
      </c>
      <c r="T219" s="5">
        <v>2243821.9500000002</v>
      </c>
      <c r="U219" s="4">
        <v>0</v>
      </c>
      <c r="V219" s="4">
        <v>0</v>
      </c>
      <c r="W219" s="53">
        <v>0</v>
      </c>
      <c r="X219" s="16"/>
    </row>
    <row r="220" spans="1:24" ht="18.75" hidden="1" customHeight="1">
      <c r="A220" s="41">
        <v>192</v>
      </c>
      <c r="B220" s="10" t="s">
        <v>245</v>
      </c>
      <c r="C220" s="3">
        <f t="shared" si="27"/>
        <v>1386175.61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7">
        <v>0</v>
      </c>
      <c r="K220" s="4">
        <v>0</v>
      </c>
      <c r="L220" s="3">
        <v>477.7</v>
      </c>
      <c r="M220" s="3">
        <v>1386175.61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53">
        <v>0</v>
      </c>
      <c r="X220" s="16"/>
    </row>
    <row r="221" spans="1:24" ht="18.75" hidden="1" customHeight="1">
      <c r="A221" s="41">
        <v>193</v>
      </c>
      <c r="B221" s="10" t="s">
        <v>158</v>
      </c>
      <c r="C221" s="3">
        <f t="shared" si="27"/>
        <v>4754382.54</v>
      </c>
      <c r="D221" s="3">
        <f>E221+F221+G221+H221+I221+V221+O221</f>
        <v>4754382.54</v>
      </c>
      <c r="E221" s="3">
        <f>(97066.26+121510)/6+965230.55</f>
        <v>1001659.9266666668</v>
      </c>
      <c r="F221" s="3">
        <f>(97066.26+121510)/6+1872700.47</f>
        <v>1909129.8466666667</v>
      </c>
      <c r="G221" s="3">
        <v>0</v>
      </c>
      <c r="H221" s="3">
        <f>(97066.26+121510)/6+234844.72+523755.93</f>
        <v>795030.02666666661</v>
      </c>
      <c r="I221" s="3">
        <f>(97066.26+121510)/6+299484.58</f>
        <v>335913.95666666667</v>
      </c>
      <c r="J221" s="7">
        <v>0</v>
      </c>
      <c r="K221" s="4">
        <v>0</v>
      </c>
      <c r="L221" s="3">
        <v>0</v>
      </c>
      <c r="M221" s="3">
        <v>0</v>
      </c>
      <c r="N221" s="3">
        <v>856.3</v>
      </c>
      <c r="O221" s="3">
        <f>(97066.26+121510)/6+228080.42</f>
        <v>264509.79666666669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f>(97066.26+121510)/6+23576.1+388133.51</f>
        <v>448138.98666666669</v>
      </c>
      <c r="W221" s="42">
        <v>0</v>
      </c>
      <c r="X221" s="16"/>
    </row>
    <row r="222" spans="1:24" ht="18.75" hidden="1" customHeight="1">
      <c r="A222" s="41">
        <v>194</v>
      </c>
      <c r="B222" s="10" t="s">
        <v>159</v>
      </c>
      <c r="C222" s="3">
        <f t="shared" si="27"/>
        <v>1629539.5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7">
        <v>0</v>
      </c>
      <c r="K222" s="4">
        <v>0</v>
      </c>
      <c r="L222" s="3">
        <v>623</v>
      </c>
      <c r="M222" s="3">
        <v>1629539.5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53">
        <v>0</v>
      </c>
      <c r="X222" s="16"/>
    </row>
    <row r="223" spans="1:24" ht="18.75" hidden="1" customHeight="1">
      <c r="A223" s="41">
        <v>195</v>
      </c>
      <c r="B223" s="10" t="s">
        <v>160</v>
      </c>
      <c r="C223" s="3">
        <f t="shared" si="27"/>
        <v>2601779.09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7">
        <v>0</v>
      </c>
      <c r="K223" s="4">
        <v>0</v>
      </c>
      <c r="L223" s="3">
        <v>0</v>
      </c>
      <c r="M223" s="3">
        <v>0</v>
      </c>
      <c r="N223" s="4">
        <v>0</v>
      </c>
      <c r="O223" s="4">
        <v>0</v>
      </c>
      <c r="P223" s="4">
        <v>553.53</v>
      </c>
      <c r="Q223" s="4">
        <v>0</v>
      </c>
      <c r="R223" s="4">
        <v>0</v>
      </c>
      <c r="S223" s="4">
        <v>0</v>
      </c>
      <c r="T223" s="5">
        <v>2601779.09</v>
      </c>
      <c r="U223" s="4">
        <v>0</v>
      </c>
      <c r="V223" s="4">
        <v>0</v>
      </c>
      <c r="W223" s="53">
        <v>0</v>
      </c>
      <c r="X223" s="16"/>
    </row>
    <row r="224" spans="1:24" ht="18.75" hidden="1" customHeight="1">
      <c r="A224" s="41">
        <v>196</v>
      </c>
      <c r="B224" s="10" t="s">
        <v>246</v>
      </c>
      <c r="C224" s="3">
        <f t="shared" si="27"/>
        <v>4800288.55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8">
        <v>4</v>
      </c>
      <c r="K224" s="3">
        <v>4800288.55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42">
        <v>0</v>
      </c>
      <c r="X224" s="16"/>
    </row>
    <row r="225" spans="1:24" ht="18.75" hidden="1" customHeight="1">
      <c r="A225" s="41">
        <v>197</v>
      </c>
      <c r="B225" s="10" t="s">
        <v>161</v>
      </c>
      <c r="C225" s="3">
        <f t="shared" si="27"/>
        <v>1744623.15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7">
        <v>0</v>
      </c>
      <c r="K225" s="4">
        <v>0</v>
      </c>
      <c r="L225" s="3">
        <v>737.3</v>
      </c>
      <c r="M225" s="3">
        <v>1744623.15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53">
        <v>0</v>
      </c>
      <c r="X225" s="16"/>
    </row>
    <row r="226" spans="1:24" ht="18.75" hidden="1" customHeight="1" thickBot="1">
      <c r="A226" s="39">
        <v>198</v>
      </c>
      <c r="B226" s="28" t="s">
        <v>162</v>
      </c>
      <c r="C226" s="29">
        <f t="shared" si="27"/>
        <v>1271988.1000000001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2">
        <v>0</v>
      </c>
      <c r="K226" s="21">
        <v>0</v>
      </c>
      <c r="L226" s="29">
        <v>595.1</v>
      </c>
      <c r="M226" s="29">
        <v>1271988.1000000001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50">
        <v>0</v>
      </c>
      <c r="X226" s="16"/>
    </row>
    <row r="227" spans="1:24" ht="18.75" hidden="1" customHeight="1" thickBot="1">
      <c r="A227" s="77" t="s">
        <v>35</v>
      </c>
      <c r="B227" s="78"/>
      <c r="C227" s="71">
        <f>C228</f>
        <v>5635366.1100000003</v>
      </c>
      <c r="D227" s="71">
        <f t="shared" ref="D227:W227" si="28">D228</f>
        <v>696910.07499999995</v>
      </c>
      <c r="E227" s="71">
        <f t="shared" si="28"/>
        <v>293675.97499999998</v>
      </c>
      <c r="F227" s="71">
        <f t="shared" si="28"/>
        <v>0</v>
      </c>
      <c r="G227" s="71">
        <f t="shared" si="28"/>
        <v>0</v>
      </c>
      <c r="H227" s="71">
        <f t="shared" si="28"/>
        <v>90286.945000000007</v>
      </c>
      <c r="I227" s="71">
        <f t="shared" si="28"/>
        <v>137025.48499999999</v>
      </c>
      <c r="J227" s="72">
        <f t="shared" si="28"/>
        <v>0</v>
      </c>
      <c r="K227" s="71">
        <f t="shared" si="28"/>
        <v>0</v>
      </c>
      <c r="L227" s="71">
        <f t="shared" si="28"/>
        <v>504</v>
      </c>
      <c r="M227" s="71">
        <f t="shared" si="28"/>
        <v>1076984.675</v>
      </c>
      <c r="N227" s="71">
        <f>N228</f>
        <v>440</v>
      </c>
      <c r="O227" s="71">
        <f>O228</f>
        <v>129219.845</v>
      </c>
      <c r="P227" s="71">
        <f t="shared" si="28"/>
        <v>996</v>
      </c>
      <c r="Q227" s="71">
        <f t="shared" si="28"/>
        <v>0</v>
      </c>
      <c r="R227" s="71">
        <f t="shared" si="28"/>
        <v>30.54</v>
      </c>
      <c r="S227" s="71">
        <f t="shared" si="28"/>
        <v>733482.29499999993</v>
      </c>
      <c r="T227" s="71">
        <f t="shared" si="28"/>
        <v>3127989.0650000004</v>
      </c>
      <c r="U227" s="71">
        <f t="shared" si="28"/>
        <v>0</v>
      </c>
      <c r="V227" s="71">
        <f t="shared" si="28"/>
        <v>46701.824999999997</v>
      </c>
      <c r="W227" s="73">
        <f t="shared" si="28"/>
        <v>0</v>
      </c>
      <c r="X227" s="16"/>
    </row>
    <row r="228" spans="1:24" ht="18.75" hidden="1" customHeight="1" thickBot="1">
      <c r="A228" s="40">
        <v>199</v>
      </c>
      <c r="B228" s="31" t="s">
        <v>163</v>
      </c>
      <c r="C228" s="32">
        <f>D228+M228+S228+T228+K228+Q228+U228</f>
        <v>5635366.1100000003</v>
      </c>
      <c r="D228" s="32">
        <f>E228+F228+G228+H228+I228+O228+V228</f>
        <v>696910.07499999995</v>
      </c>
      <c r="E228" s="32">
        <f>((112376.3+271761)/4)/5+274469.11</f>
        <v>293675.97499999998</v>
      </c>
      <c r="F228" s="32">
        <v>0</v>
      </c>
      <c r="G228" s="32">
        <v>0</v>
      </c>
      <c r="H228" s="32">
        <f>((112376.3+271761)/4)/5+71080.08</f>
        <v>90286.945000000007</v>
      </c>
      <c r="I228" s="32">
        <f>((112376.3+271761)/4)/5+117818.62</f>
        <v>137025.48499999999</v>
      </c>
      <c r="J228" s="25">
        <v>0</v>
      </c>
      <c r="K228" s="24">
        <v>0</v>
      </c>
      <c r="L228" s="32">
        <v>504</v>
      </c>
      <c r="M228" s="32">
        <f>(112376.3+271761)/4+980950.35</f>
        <v>1076984.675</v>
      </c>
      <c r="N228" s="24">
        <v>440</v>
      </c>
      <c r="O228" s="32">
        <f>((112376.3+271761)/4)/5+110012.98</f>
        <v>129219.845</v>
      </c>
      <c r="P228" s="24">
        <v>996</v>
      </c>
      <c r="Q228" s="24">
        <v>0</v>
      </c>
      <c r="R228" s="32">
        <v>30.54</v>
      </c>
      <c r="S228" s="32">
        <f>(112376.3+271761)/4+637447.97</f>
        <v>733482.29499999993</v>
      </c>
      <c r="T228" s="32">
        <f>(112376.3+271761)/4+3031954.74</f>
        <v>3127989.0650000004</v>
      </c>
      <c r="U228" s="24">
        <v>0</v>
      </c>
      <c r="V228" s="32">
        <f>((112376.3+271761)/4)/5+27494.96</f>
        <v>46701.824999999997</v>
      </c>
      <c r="W228" s="51">
        <v>0</v>
      </c>
      <c r="X228" s="16"/>
    </row>
    <row r="229" spans="1:24" ht="18.75" hidden="1" customHeight="1" thickBot="1">
      <c r="A229" s="77" t="s">
        <v>22</v>
      </c>
      <c r="B229" s="78"/>
      <c r="C229" s="68">
        <f>SUM(C230:C231)</f>
        <v>2862706.46</v>
      </c>
      <c r="D229" s="68">
        <f t="shared" ref="D229:W229" si="29">SUM(D230:D231)</f>
        <v>184358</v>
      </c>
      <c r="E229" s="68">
        <f t="shared" si="29"/>
        <v>184358</v>
      </c>
      <c r="F229" s="68">
        <f t="shared" si="29"/>
        <v>0</v>
      </c>
      <c r="G229" s="68">
        <f t="shared" si="29"/>
        <v>0</v>
      </c>
      <c r="H229" s="68">
        <f t="shared" si="29"/>
        <v>0</v>
      </c>
      <c r="I229" s="68">
        <f t="shared" si="29"/>
        <v>0</v>
      </c>
      <c r="J229" s="69">
        <f t="shared" si="29"/>
        <v>0</v>
      </c>
      <c r="K229" s="68">
        <f t="shared" si="29"/>
        <v>0</v>
      </c>
      <c r="L229" s="68">
        <f t="shared" si="29"/>
        <v>1112.94</v>
      </c>
      <c r="M229" s="68">
        <f t="shared" si="29"/>
        <v>2678348.46</v>
      </c>
      <c r="N229" s="68">
        <f>SUM(N230:N231)</f>
        <v>0</v>
      </c>
      <c r="O229" s="68">
        <f>SUM(O230:O231)</f>
        <v>0</v>
      </c>
      <c r="P229" s="68">
        <f t="shared" si="29"/>
        <v>0</v>
      </c>
      <c r="Q229" s="68">
        <f t="shared" si="29"/>
        <v>0</v>
      </c>
      <c r="R229" s="68">
        <f t="shared" si="29"/>
        <v>0</v>
      </c>
      <c r="S229" s="68">
        <f t="shared" si="29"/>
        <v>0</v>
      </c>
      <c r="T229" s="68">
        <f t="shared" si="29"/>
        <v>0</v>
      </c>
      <c r="U229" s="68">
        <f t="shared" si="29"/>
        <v>0</v>
      </c>
      <c r="V229" s="68">
        <f t="shared" si="29"/>
        <v>0</v>
      </c>
      <c r="W229" s="70">
        <f t="shared" si="29"/>
        <v>0</v>
      </c>
      <c r="X229" s="16"/>
    </row>
    <row r="230" spans="1:24" ht="18.75" hidden="1" customHeight="1">
      <c r="A230" s="37">
        <v>200</v>
      </c>
      <c r="B230" s="30" t="s">
        <v>173</v>
      </c>
      <c r="C230" s="27">
        <f>D230+K230+M230+Q230+S230+T230+U230</f>
        <v>1087759.1100000001</v>
      </c>
      <c r="D230" s="27">
        <f>E230+F230+G230+H230+I230+V230</f>
        <v>184358</v>
      </c>
      <c r="E230" s="35">
        <f>20184.34/2+124381.3/2+112075.18</f>
        <v>184358</v>
      </c>
      <c r="F230" s="27">
        <v>0</v>
      </c>
      <c r="G230" s="27">
        <v>0</v>
      </c>
      <c r="H230" s="27">
        <v>0</v>
      </c>
      <c r="I230" s="27">
        <v>0</v>
      </c>
      <c r="J230" s="19">
        <v>0</v>
      </c>
      <c r="K230" s="18">
        <v>0</v>
      </c>
      <c r="L230" s="35">
        <v>315.5</v>
      </c>
      <c r="M230" s="35">
        <f>20184.34/2+124381.3/2+831118.29</f>
        <v>903401.1100000001</v>
      </c>
      <c r="N230" s="18">
        <v>0</v>
      </c>
      <c r="O230" s="18">
        <v>0</v>
      </c>
      <c r="P230" s="18">
        <v>0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49">
        <v>0</v>
      </c>
      <c r="X230" s="16"/>
    </row>
    <row r="231" spans="1:24" ht="18.75" hidden="1" customHeight="1" thickBot="1">
      <c r="A231" s="39">
        <v>201</v>
      </c>
      <c r="B231" s="28" t="s">
        <v>164</v>
      </c>
      <c r="C231" s="55">
        <f>D231+K231+M231+Q231+S231+T231+U231</f>
        <v>1774947.35</v>
      </c>
      <c r="D231" s="56">
        <v>0</v>
      </c>
      <c r="E231" s="56">
        <v>0</v>
      </c>
      <c r="F231" s="56">
        <v>0</v>
      </c>
      <c r="G231" s="56">
        <v>0</v>
      </c>
      <c r="H231" s="56">
        <v>0</v>
      </c>
      <c r="I231" s="56">
        <v>0</v>
      </c>
      <c r="J231" s="57">
        <v>0</v>
      </c>
      <c r="K231" s="56">
        <v>0</v>
      </c>
      <c r="L231" s="55">
        <v>797.44</v>
      </c>
      <c r="M231" s="55">
        <v>1774947.35</v>
      </c>
      <c r="N231" s="56">
        <v>0</v>
      </c>
      <c r="O231" s="56">
        <v>0</v>
      </c>
      <c r="P231" s="56">
        <v>0</v>
      </c>
      <c r="Q231" s="56">
        <v>0</v>
      </c>
      <c r="R231" s="56">
        <v>0</v>
      </c>
      <c r="S231" s="56">
        <v>0</v>
      </c>
      <c r="T231" s="56">
        <v>0</v>
      </c>
      <c r="U231" s="56">
        <v>0</v>
      </c>
      <c r="V231" s="56">
        <v>0</v>
      </c>
      <c r="W231" s="58">
        <v>0</v>
      </c>
      <c r="X231" s="16"/>
    </row>
    <row r="232" spans="1:24" ht="18.75" customHeight="1" thickBot="1">
      <c r="A232" s="91" t="s">
        <v>252</v>
      </c>
      <c r="B232" s="91"/>
      <c r="C232" s="75" t="s">
        <v>250</v>
      </c>
      <c r="D232" s="75" t="s">
        <v>250</v>
      </c>
      <c r="E232" s="75" t="s">
        <v>250</v>
      </c>
      <c r="F232" s="75" t="s">
        <v>250</v>
      </c>
      <c r="G232" s="75" t="s">
        <v>250</v>
      </c>
      <c r="H232" s="75" t="s">
        <v>250</v>
      </c>
      <c r="I232" s="75" t="s">
        <v>250</v>
      </c>
      <c r="J232" s="75" t="s">
        <v>250</v>
      </c>
      <c r="K232" s="75" t="s">
        <v>250</v>
      </c>
      <c r="L232" s="75" t="s">
        <v>250</v>
      </c>
      <c r="M232" s="75" t="s">
        <v>250</v>
      </c>
      <c r="N232" s="75" t="s">
        <v>250</v>
      </c>
      <c r="O232" s="75" t="s">
        <v>250</v>
      </c>
      <c r="P232" s="75" t="s">
        <v>250</v>
      </c>
      <c r="Q232" s="75" t="s">
        <v>250</v>
      </c>
      <c r="R232" s="75" t="s">
        <v>250</v>
      </c>
      <c r="S232" s="75" t="s">
        <v>250</v>
      </c>
      <c r="T232" s="75" t="s">
        <v>250</v>
      </c>
      <c r="U232" s="75" t="s">
        <v>250</v>
      </c>
      <c r="V232" s="75" t="s">
        <v>250</v>
      </c>
      <c r="W232" s="75" t="s">
        <v>250</v>
      </c>
      <c r="X232" s="16"/>
    </row>
    <row r="233" spans="1:24" ht="19.5" thickBot="1">
      <c r="A233" s="89" t="s">
        <v>253</v>
      </c>
      <c r="B233" s="90"/>
      <c r="C233" s="75" t="s">
        <v>250</v>
      </c>
      <c r="D233" s="76" t="s">
        <v>250</v>
      </c>
      <c r="E233" s="76" t="s">
        <v>250</v>
      </c>
      <c r="F233" s="76" t="s">
        <v>250</v>
      </c>
      <c r="G233" s="76" t="s">
        <v>250</v>
      </c>
      <c r="H233" s="75" t="s">
        <v>250</v>
      </c>
      <c r="I233" s="75" t="s">
        <v>250</v>
      </c>
      <c r="J233" s="75" t="s">
        <v>250</v>
      </c>
      <c r="K233" s="75" t="s">
        <v>250</v>
      </c>
      <c r="L233" s="75" t="s">
        <v>250</v>
      </c>
      <c r="M233" s="75" t="s">
        <v>250</v>
      </c>
      <c r="N233" s="75" t="s">
        <v>250</v>
      </c>
      <c r="O233" s="75" t="s">
        <v>250</v>
      </c>
      <c r="P233" s="75" t="s">
        <v>250</v>
      </c>
      <c r="Q233" s="75" t="s">
        <v>250</v>
      </c>
      <c r="R233" s="75" t="s">
        <v>250</v>
      </c>
      <c r="S233" s="75" t="s">
        <v>250</v>
      </c>
      <c r="T233" s="75" t="s">
        <v>250</v>
      </c>
      <c r="U233" s="75" t="s">
        <v>250</v>
      </c>
      <c r="V233" s="75" t="s">
        <v>250</v>
      </c>
      <c r="W233" s="75" t="s">
        <v>250</v>
      </c>
      <c r="X233" s="16"/>
    </row>
    <row r="234" spans="1:24" ht="19.5" thickBot="1">
      <c r="A234" s="77" t="s">
        <v>254</v>
      </c>
      <c r="B234" s="78"/>
      <c r="C234" s="76">
        <v>1830675</v>
      </c>
      <c r="D234" s="76">
        <v>0</v>
      </c>
      <c r="E234" s="76">
        <v>0</v>
      </c>
      <c r="F234" s="76">
        <v>0</v>
      </c>
      <c r="G234" s="76">
        <v>0</v>
      </c>
      <c r="H234" s="76">
        <v>0</v>
      </c>
      <c r="I234" s="76">
        <v>0</v>
      </c>
      <c r="J234" s="76">
        <v>0</v>
      </c>
      <c r="K234" s="76">
        <v>0</v>
      </c>
      <c r="L234" s="76">
        <v>0</v>
      </c>
      <c r="M234" s="76">
        <v>0</v>
      </c>
      <c r="N234" s="76">
        <v>0</v>
      </c>
      <c r="O234" s="76">
        <v>0</v>
      </c>
      <c r="P234" s="76">
        <v>450</v>
      </c>
      <c r="Q234" s="76">
        <v>3994650</v>
      </c>
      <c r="R234" s="76">
        <v>20.9</v>
      </c>
      <c r="S234" s="76">
        <v>1862357.2</v>
      </c>
      <c r="T234" s="76">
        <v>0</v>
      </c>
      <c r="U234" s="76">
        <v>0</v>
      </c>
      <c r="V234" s="76">
        <v>0</v>
      </c>
      <c r="W234" s="76">
        <v>0</v>
      </c>
      <c r="X234" s="16"/>
    </row>
    <row r="235" spans="1:24">
      <c r="A235" s="37">
        <v>1</v>
      </c>
      <c r="B235" s="26" t="s">
        <v>249</v>
      </c>
      <c r="C235" s="35">
        <v>1830675</v>
      </c>
      <c r="D235" s="35">
        <f t="shared" ref="D235" si="30">E235+F235+G235+H235+I235+O235+V235</f>
        <v>0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6">
        <v>0</v>
      </c>
      <c r="K235" s="35">
        <v>0</v>
      </c>
      <c r="L235" s="35"/>
      <c r="M235" s="35"/>
      <c r="N235" s="35">
        <v>0</v>
      </c>
      <c r="O235" s="35">
        <v>0</v>
      </c>
      <c r="P235" s="35">
        <v>450</v>
      </c>
      <c r="Q235" s="35">
        <v>3994650</v>
      </c>
      <c r="R235" s="35">
        <v>20.9</v>
      </c>
      <c r="S235" s="35">
        <v>1862357.2</v>
      </c>
      <c r="T235" s="35">
        <v>0</v>
      </c>
      <c r="U235" s="35">
        <v>0</v>
      </c>
      <c r="V235" s="35">
        <v>0</v>
      </c>
      <c r="W235" s="38">
        <v>0</v>
      </c>
      <c r="X235" s="16"/>
    </row>
    <row r="11121" spans="1:41" s="74" customFormat="1">
      <c r="A11121" s="9"/>
      <c r="B11121" s="9"/>
      <c r="J11121" s="15"/>
      <c r="K11121" s="74">
        <v>1239202.57</v>
      </c>
      <c r="X11121" s="1"/>
      <c r="Y11121" s="1"/>
      <c r="Z11121" s="1"/>
      <c r="AA11121" s="1"/>
      <c r="AB11121" s="1"/>
      <c r="AC11121" s="1"/>
      <c r="AD11121" s="1"/>
      <c r="AE11121" s="1"/>
      <c r="AF11121" s="1"/>
      <c r="AG11121" s="1"/>
      <c r="AH11121" s="1"/>
      <c r="AI11121" s="1"/>
      <c r="AJ11121" s="1"/>
      <c r="AK11121" s="1"/>
      <c r="AL11121" s="1"/>
      <c r="AM11121" s="1"/>
      <c r="AN11121" s="1"/>
      <c r="AO11121" s="1"/>
    </row>
  </sheetData>
  <autoFilter ref="A232:CX235">
    <filterColumn colId="0" showButton="0"/>
  </autoFilter>
  <mergeCells count="43">
    <mergeCell ref="A1:W1"/>
    <mergeCell ref="A182:B182"/>
    <mergeCell ref="A2:W2"/>
    <mergeCell ref="A3:W3"/>
    <mergeCell ref="A4:A7"/>
    <mergeCell ref="B4:B7"/>
    <mergeCell ref="C4:C6"/>
    <mergeCell ref="D4:S4"/>
    <mergeCell ref="T4:W4"/>
    <mergeCell ref="D5:I5"/>
    <mergeCell ref="J5:K6"/>
    <mergeCell ref="L5:M6"/>
    <mergeCell ref="N5:O6"/>
    <mergeCell ref="P5:Q6"/>
    <mergeCell ref="W5:W6"/>
    <mergeCell ref="U5:U6"/>
    <mergeCell ref="V5:V6"/>
    <mergeCell ref="A152:B152"/>
    <mergeCell ref="T5:T6"/>
    <mergeCell ref="A21:B21"/>
    <mergeCell ref="A62:B62"/>
    <mergeCell ref="A15:B15"/>
    <mergeCell ref="A18:B18"/>
    <mergeCell ref="A13:B13"/>
    <mergeCell ref="A9:B9"/>
    <mergeCell ref="A10:B10"/>
    <mergeCell ref="A27:B27"/>
    <mergeCell ref="R5:S6"/>
    <mergeCell ref="A234:B234"/>
    <mergeCell ref="A227:B227"/>
    <mergeCell ref="A154:B154"/>
    <mergeCell ref="A157:B157"/>
    <mergeCell ref="A233:B233"/>
    <mergeCell ref="A184:B184"/>
    <mergeCell ref="A196:B196"/>
    <mergeCell ref="A201:B201"/>
    <mergeCell ref="A203:B203"/>
    <mergeCell ref="A208:B208"/>
    <mergeCell ref="A229:B229"/>
    <mergeCell ref="A232:B232"/>
    <mergeCell ref="A186:B186"/>
    <mergeCell ref="A163:B163"/>
    <mergeCell ref="A172:B172"/>
  </mergeCells>
  <pageMargins left="0.70866141732283472" right="0.70866141732283472" top="0.74803149606299213" bottom="0.74803149606299213" header="0.31496062992125984" footer="0.31496062992125984"/>
  <pageSetup paperSize="9" scale="40" fitToHeight="5" orientation="landscape" r:id="rId1"/>
  <ignoredErrors>
    <ignoredError sqref="C27: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2018-2020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Шелихова</dc:creator>
  <cp:lastModifiedBy>User</cp:lastModifiedBy>
  <cp:lastPrinted>2025-01-09T08:07:40Z</cp:lastPrinted>
  <dcterms:created xsi:type="dcterms:W3CDTF">2015-10-15T13:33:03Z</dcterms:created>
  <dcterms:modified xsi:type="dcterms:W3CDTF">2025-01-09T08:10:09Z</dcterms:modified>
</cp:coreProperties>
</file>